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pivotTables/pivotTable5.xml" ContentType="application/vnd.openxmlformats-officedocument.spreadsheetml.pivotTable+xml"/>
  <Override PartName="/xl/drawings/drawing10.xml" ContentType="application/vnd.openxmlformats-officedocument.drawing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ila.Rodrigues\Desktop\orc 2024\"/>
    </mc:Choice>
  </mc:AlternateContent>
  <bookViews>
    <workbookView xWindow="0" yWindow="0" windowWidth="24000" windowHeight="9300" tabRatio="842" firstSheet="2" activeTab="10"/>
  </bookViews>
  <sheets>
    <sheet name="anexo planofinanceiro" sheetId="11" state="hidden" r:id="rId1"/>
    <sheet name="Plano_financeiro2021" sheetId="10" state="hidden" r:id="rId2"/>
    <sheet name="MapaI" sheetId="2" r:id="rId3"/>
    <sheet name="MapaII" sheetId="3" r:id="rId4"/>
    <sheet name="MapaIII" sheetId="4" r:id="rId5"/>
    <sheet name="MapaVIII" sheetId="6" r:id="rId6"/>
    <sheet name="MapaVII" sheetId="5" r:id="rId7"/>
    <sheet name="MAPA IX" sheetId="7" r:id="rId8"/>
    <sheet name="MapaX" sheetId="8" r:id="rId9"/>
    <sheet name="Sheet1" sheetId="14" state="hidden" r:id="rId10"/>
    <sheet name="MapaXI" sheetId="9" r:id="rId11"/>
    <sheet name="Sheet2" sheetId="13" state="hidden" r:id="rId12"/>
    <sheet name="inv rubricas" sheetId="1" state="hidden" r:id="rId13"/>
  </sheets>
  <definedNames>
    <definedName name="_xlnm._FilterDatabase" localSheetId="2" hidden="1">MapaI!$B$13:$F$134</definedName>
    <definedName name="_xlnm._FilterDatabase" localSheetId="3" hidden="1">MapaII!$A$7:$AB$172</definedName>
    <definedName name="_xlnm._FilterDatabase" localSheetId="4" hidden="1">MapaIII!$A$10:$G$71</definedName>
    <definedName name="_xlnm._FilterDatabase" localSheetId="8" hidden="1">MapaX!$A$15:$I$122</definedName>
    <definedName name="_xlnm._FilterDatabase" localSheetId="9" hidden="1">Sheet1!$G$2:$G$45</definedName>
    <definedName name="_xlnm._FilterDatabase" localSheetId="11" hidden="1">Sheet2!$G$60:$G$103</definedName>
    <definedName name="_xlnm.Print_Area" localSheetId="7">'MAPA IX'!$A$1:$G$91</definedName>
    <definedName name="_xlnm.Print_Area" localSheetId="2">MapaI!$A$1:$F$142</definedName>
    <definedName name="_xlnm.Print_Area" localSheetId="3">MapaII!$A$1:$AB$179</definedName>
    <definedName name="_xlnm.Print_Area" localSheetId="4">MapaIII!$A$1:$IV$79</definedName>
    <definedName name="_xlnm.Print_Area" localSheetId="8">MapaX!$A$1:$I$123</definedName>
    <definedName name="_xlnm.Print_Area" localSheetId="10">MapaXI!$A$2:$L$79</definedName>
    <definedName name="_xlnm.Print_Titles" localSheetId="2">MapaI!$10:$10</definedName>
  </definedNames>
  <calcPr calcId="162913"/>
  <pivotCaches>
    <pivotCache cacheId="0" r:id="rId14"/>
    <pivotCache cacheId="1" r:id="rId15"/>
    <pivotCache cacheId="2" r:id="rId16"/>
    <pivotCache cacheId="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" l="1"/>
  <c r="O27" i="9"/>
  <c r="D110" i="2" l="1"/>
  <c r="E79" i="11" l="1"/>
  <c r="F26" i="9"/>
  <c r="M3" i="3" l="1"/>
  <c r="D15" i="7"/>
  <c r="D18" i="7"/>
  <c r="G52" i="9"/>
  <c r="Z12" i="3" l="1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Z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J55" i="3"/>
  <c r="I55" i="3"/>
  <c r="H55" i="3"/>
  <c r="G55" i="3"/>
  <c r="F55" i="3"/>
  <c r="E55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K161" i="3"/>
  <c r="Y159" i="3"/>
  <c r="J168" i="3"/>
  <c r="Y161" i="3"/>
  <c r="K172" i="3"/>
  <c r="I161" i="3"/>
  <c r="Y168" i="3"/>
  <c r="N161" i="3"/>
  <c r="D3" i="14" l="1" a="1"/>
  <c r="D3" i="14" s="1"/>
  <c r="D4" i="14" a="1"/>
  <c r="D4" i="14" s="1"/>
  <c r="D5" i="14" a="1"/>
  <c r="D5" i="14" s="1"/>
  <c r="D6" i="14" a="1"/>
  <c r="D6" i="14" s="1"/>
  <c r="D7" i="14" a="1"/>
  <c r="D7" i="14" s="1"/>
  <c r="D8" i="14" a="1"/>
  <c r="D8" i="14" s="1"/>
  <c r="D9" i="14" a="1"/>
  <c r="D9" i="14" s="1"/>
  <c r="D10" i="14" a="1"/>
  <c r="D10" i="14" s="1"/>
  <c r="D11" i="14" a="1"/>
  <c r="D11" i="14" s="1"/>
  <c r="D12" i="14" a="1"/>
  <c r="D12" i="14" s="1"/>
  <c r="D13" i="14" a="1"/>
  <c r="D13" i="14" s="1"/>
  <c r="D14" i="14" a="1"/>
  <c r="D14" i="14" s="1"/>
  <c r="D15" i="14" a="1"/>
  <c r="D15" i="14" s="1"/>
  <c r="D16" i="14" a="1"/>
  <c r="D16" i="14" s="1"/>
  <c r="D17" i="14" a="1"/>
  <c r="D17" i="14" s="1"/>
  <c r="D18" i="14" a="1"/>
  <c r="D18" i="14" s="1"/>
  <c r="D20" i="14" a="1"/>
  <c r="D20" i="14" s="1"/>
  <c r="D21" i="14" a="1"/>
  <c r="D21" i="14" s="1"/>
  <c r="D22" i="14" a="1"/>
  <c r="D22" i="14" s="1"/>
  <c r="D23" i="14" a="1"/>
  <c r="D23" i="14" s="1"/>
  <c r="D24" i="14" a="1"/>
  <c r="D24" i="14" s="1"/>
  <c r="D25" i="14" a="1"/>
  <c r="D25" i="14" s="1"/>
  <c r="D26" i="14" a="1"/>
  <c r="D26" i="14" s="1"/>
  <c r="D27" i="14" a="1"/>
  <c r="D27" i="14" s="1"/>
  <c r="D28" i="14" a="1"/>
  <c r="D28" i="14" s="1"/>
  <c r="D31" i="14" a="1"/>
  <c r="D31" i="14" s="1"/>
  <c r="D32" i="14" a="1"/>
  <c r="D32" i="14" s="1"/>
  <c r="D34" i="14" a="1"/>
  <c r="D34" i="14" s="1"/>
  <c r="D38" i="14" a="1"/>
  <c r="D38" i="14" s="1"/>
  <c r="D41" i="14" a="1"/>
  <c r="D41" i="14" s="1"/>
  <c r="D44" i="14" a="1"/>
  <c r="D44" i="14" s="1"/>
  <c r="D45" i="14" a="1"/>
  <c r="D45" i="14" s="1"/>
  <c r="G24" i="3"/>
  <c r="M103" i="3"/>
  <c r="N99" i="3"/>
  <c r="N103" i="3"/>
  <c r="H103" i="3"/>
  <c r="K69" i="3"/>
  <c r="Y103" i="3"/>
  <c r="Y69" i="3"/>
  <c r="F19" i="14"/>
  <c r="Y55" i="3" l="1"/>
  <c r="K55" i="3"/>
  <c r="D61" i="2" l="1"/>
  <c r="E74" i="3"/>
  <c r="E74" i="11"/>
  <c r="D2" i="14" l="1" a="1"/>
  <c r="D2" i="14" s="1"/>
  <c r="I10" i="1"/>
  <c r="J122" i="8"/>
  <c r="J119" i="8"/>
  <c r="J113" i="8"/>
  <c r="J112" i="8"/>
  <c r="J110" i="8"/>
  <c r="J107" i="8"/>
  <c r="J106" i="8"/>
  <c r="J105" i="8"/>
  <c r="J104" i="8"/>
  <c r="J103" i="8"/>
  <c r="J102" i="8"/>
  <c r="J101" i="8"/>
  <c r="J100" i="8"/>
  <c r="J93" i="8"/>
  <c r="J92" i="8"/>
  <c r="J89" i="8"/>
  <c r="J88" i="8"/>
  <c r="J85" i="8"/>
  <c r="J82" i="8"/>
  <c r="J81" i="8"/>
  <c r="J80" i="8"/>
  <c r="J77" i="8"/>
  <c r="J76" i="8"/>
  <c r="J75" i="8"/>
  <c r="J74" i="8"/>
  <c r="J70" i="8"/>
  <c r="J64" i="8"/>
  <c r="J63" i="8"/>
  <c r="J60" i="8"/>
  <c r="J57" i="8"/>
  <c r="J56" i="8"/>
  <c r="J52" i="8"/>
  <c r="J49" i="8"/>
  <c r="J48" i="8"/>
  <c r="J45" i="8"/>
  <c r="J44" i="8"/>
  <c r="J43" i="8"/>
  <c r="J40" i="8"/>
  <c r="J38" i="8"/>
  <c r="J36" i="8"/>
  <c r="J35" i="8"/>
  <c r="J31" i="8"/>
  <c r="J25" i="8"/>
  <c r="J21" i="8"/>
  <c r="T7" i="11"/>
  <c r="T10" i="11"/>
  <c r="G53" i="9"/>
  <c r="V10" i="11" l="1"/>
  <c r="I2" i="1"/>
  <c r="I3" i="1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F20" i="9"/>
  <c r="F19" i="9"/>
  <c r="F24" i="9"/>
  <c r="F25" i="9"/>
  <c r="S56" i="2" l="1"/>
  <c r="S57" i="2" s="1"/>
  <c r="S31" i="2"/>
  <c r="U31" i="2"/>
  <c r="U34" i="2" s="1"/>
  <c r="Q63" i="11"/>
  <c r="S71" i="2" l="1"/>
  <c r="S68" i="2"/>
  <c r="S66" i="2"/>
  <c r="E80" i="8"/>
  <c r="S73" i="2" l="1"/>
  <c r="T73" i="2" s="1"/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6" i="1"/>
  <c r="J5" i="1"/>
  <c r="J4" i="1"/>
  <c r="J3" i="1"/>
  <c r="J2" i="1"/>
  <c r="C57" i="13"/>
  <c r="A57" i="13"/>
  <c r="C56" i="13"/>
  <c r="A56" i="13"/>
  <c r="C55" i="13"/>
  <c r="A55" i="13"/>
  <c r="C54" i="13"/>
  <c r="A54" i="13"/>
  <c r="C53" i="13"/>
  <c r="A53" i="13"/>
  <c r="C52" i="13"/>
  <c r="A52" i="13"/>
  <c r="C51" i="13"/>
  <c r="A51" i="13"/>
  <c r="C50" i="13"/>
  <c r="A50" i="13"/>
  <c r="C49" i="13"/>
  <c r="A49" i="13"/>
  <c r="C48" i="13"/>
  <c r="A48" i="13"/>
  <c r="C47" i="13"/>
  <c r="A47" i="13"/>
  <c r="C46" i="13"/>
  <c r="A46" i="13"/>
  <c r="C45" i="13"/>
  <c r="A45" i="13"/>
  <c r="C44" i="13"/>
  <c r="A44" i="13"/>
  <c r="C43" i="13"/>
  <c r="A43" i="13"/>
  <c r="C42" i="13"/>
  <c r="A42" i="13"/>
  <c r="C41" i="13"/>
  <c r="A41" i="13"/>
  <c r="C40" i="13"/>
  <c r="A40" i="13"/>
  <c r="C39" i="13"/>
  <c r="A39" i="13"/>
  <c r="C38" i="13"/>
  <c r="A38" i="13"/>
  <c r="C37" i="13"/>
  <c r="A37" i="13"/>
  <c r="C36" i="13"/>
  <c r="A36" i="13"/>
  <c r="C35" i="13"/>
  <c r="A35" i="13"/>
  <c r="C34" i="13"/>
  <c r="A34" i="13"/>
  <c r="C33" i="13"/>
  <c r="A33" i="13"/>
  <c r="C32" i="13"/>
  <c r="A32" i="13"/>
  <c r="C31" i="13"/>
  <c r="A31" i="13"/>
  <c r="C30" i="13"/>
  <c r="A30" i="13"/>
  <c r="C29" i="13"/>
  <c r="A29" i="13"/>
  <c r="C28" i="13"/>
  <c r="A28" i="13"/>
  <c r="C27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C20" i="13"/>
  <c r="A20" i="13"/>
  <c r="C19" i="13"/>
  <c r="A19" i="13"/>
  <c r="C18" i="13"/>
  <c r="A18" i="13"/>
  <c r="C17" i="13"/>
  <c r="A17" i="13"/>
  <c r="C16" i="13"/>
  <c r="A16" i="13"/>
  <c r="C15" i="13"/>
  <c r="A15" i="13"/>
  <c r="C14" i="13"/>
  <c r="A14" i="13"/>
  <c r="C13" i="13"/>
  <c r="A13" i="13"/>
  <c r="C12" i="13"/>
  <c r="A12" i="13"/>
  <c r="C11" i="13"/>
  <c r="A11" i="13"/>
  <c r="C10" i="13"/>
  <c r="A10" i="13"/>
  <c r="C9" i="13"/>
  <c r="A9" i="13"/>
  <c r="C8" i="13"/>
  <c r="A8" i="13"/>
  <c r="C7" i="13"/>
  <c r="A7" i="13"/>
  <c r="C6" i="13"/>
  <c r="A6" i="13"/>
  <c r="C5" i="13"/>
  <c r="A5" i="13"/>
  <c r="C4" i="13"/>
  <c r="A4" i="13"/>
  <c r="C3" i="13"/>
  <c r="A3" i="13"/>
  <c r="C2" i="13"/>
  <c r="A2" i="13"/>
  <c r="C1" i="13"/>
  <c r="A1" i="13"/>
  <c r="N66" i="9"/>
  <c r="B63" i="9"/>
  <c r="G56" i="9"/>
  <c r="G40" i="9"/>
  <c r="G38" i="9" s="1"/>
  <c r="E26" i="9"/>
  <c r="E21" i="9"/>
  <c r="G21" i="9" s="1"/>
  <c r="D17" i="9"/>
  <c r="E16" i="9"/>
  <c r="E13" i="9"/>
  <c r="E11" i="9"/>
  <c r="D10" i="9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I122" i="8"/>
  <c r="H121" i="8"/>
  <c r="H120" i="8" s="1"/>
  <c r="G121" i="8"/>
  <c r="G120" i="8" s="1"/>
  <c r="F121" i="8"/>
  <c r="F120" i="8" s="1"/>
  <c r="E121" i="8"/>
  <c r="I119" i="8"/>
  <c r="H118" i="8"/>
  <c r="H117" i="8" s="1"/>
  <c r="H116" i="8" s="1"/>
  <c r="H98" i="8" s="1"/>
  <c r="G118" i="8"/>
  <c r="G117" i="8" s="1"/>
  <c r="G116" i="8" s="1"/>
  <c r="F118" i="8"/>
  <c r="F117" i="8" s="1"/>
  <c r="E118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H99" i="8"/>
  <c r="G99" i="8"/>
  <c r="G98" i="8" s="1"/>
  <c r="F99" i="8"/>
  <c r="F98" i="8" s="1"/>
  <c r="E99" i="8"/>
  <c r="I97" i="8"/>
  <c r="H96" i="8"/>
  <c r="H95" i="8" s="1"/>
  <c r="G96" i="8"/>
  <c r="G95" i="8" s="1"/>
  <c r="F96" i="8"/>
  <c r="F95" i="8" s="1"/>
  <c r="E96" i="8"/>
  <c r="E95" i="8" s="1"/>
  <c r="I94" i="8"/>
  <c r="I93" i="8"/>
  <c r="I92" i="8"/>
  <c r="H91" i="8"/>
  <c r="H90" i="8" s="1"/>
  <c r="G91" i="8"/>
  <c r="G90" i="8" s="1"/>
  <c r="F91" i="8"/>
  <c r="F90" i="8" s="1"/>
  <c r="E91" i="8"/>
  <c r="E90" i="8" s="1"/>
  <c r="I89" i="8"/>
  <c r="I88" i="8"/>
  <c r="J87" i="8"/>
  <c r="H87" i="8"/>
  <c r="H86" i="8" s="1"/>
  <c r="G87" i="8"/>
  <c r="G86" i="8" s="1"/>
  <c r="F87" i="8"/>
  <c r="F86" i="8" s="1"/>
  <c r="E87" i="8"/>
  <c r="E86" i="8" s="1"/>
  <c r="I85" i="8"/>
  <c r="I84" i="8"/>
  <c r="I83" i="8"/>
  <c r="I82" i="8"/>
  <c r="I81" i="8"/>
  <c r="I80" i="8"/>
  <c r="H79" i="8"/>
  <c r="H78" i="8" s="1"/>
  <c r="G79" i="8"/>
  <c r="G78" i="8" s="1"/>
  <c r="F79" i="8"/>
  <c r="F78" i="8" s="1"/>
  <c r="E79" i="8"/>
  <c r="I77" i="8"/>
  <c r="I76" i="8"/>
  <c r="I75" i="8"/>
  <c r="I74" i="8"/>
  <c r="H73" i="8"/>
  <c r="H72" i="8" s="1"/>
  <c r="G73" i="8"/>
  <c r="G72" i="8" s="1"/>
  <c r="F73" i="8"/>
  <c r="F72" i="8" s="1"/>
  <c r="E73" i="8"/>
  <c r="E72" i="8" s="1"/>
  <c r="I70" i="8"/>
  <c r="H69" i="8"/>
  <c r="H68" i="8" s="1"/>
  <c r="G69" i="8"/>
  <c r="G68" i="8" s="1"/>
  <c r="F69" i="8"/>
  <c r="F68" i="8" s="1"/>
  <c r="E69" i="8"/>
  <c r="E68" i="8" s="1"/>
  <c r="I67" i="8"/>
  <c r="H66" i="8"/>
  <c r="H65" i="8" s="1"/>
  <c r="G66" i="8"/>
  <c r="G65" i="8" s="1"/>
  <c r="F66" i="8"/>
  <c r="F65" i="8" s="1"/>
  <c r="E66" i="8"/>
  <c r="I64" i="8"/>
  <c r="I63" i="8"/>
  <c r="H62" i="8"/>
  <c r="G62" i="8"/>
  <c r="G61" i="8" s="1"/>
  <c r="F62" i="8"/>
  <c r="F61" i="8" s="1"/>
  <c r="E62" i="8"/>
  <c r="E61" i="8" s="1"/>
  <c r="I60" i="8"/>
  <c r="H59" i="8"/>
  <c r="G59" i="8"/>
  <c r="F59" i="8"/>
  <c r="E59" i="8"/>
  <c r="I57" i="8"/>
  <c r="I56" i="8"/>
  <c r="H55" i="8"/>
  <c r="G55" i="8"/>
  <c r="G54" i="8" s="1"/>
  <c r="F55" i="8"/>
  <c r="F54" i="8" s="1"/>
  <c r="E55" i="8"/>
  <c r="I53" i="8"/>
  <c r="I52" i="8"/>
  <c r="N51" i="8"/>
  <c r="H51" i="8"/>
  <c r="H50" i="8" s="1"/>
  <c r="G51" i="8"/>
  <c r="G50" i="8" s="1"/>
  <c r="F51" i="8"/>
  <c r="F50" i="8" s="1"/>
  <c r="E51" i="8"/>
  <c r="E50" i="8" s="1"/>
  <c r="I49" i="8"/>
  <c r="I48" i="8"/>
  <c r="H47" i="8"/>
  <c r="H46" i="8" s="1"/>
  <c r="G47" i="8"/>
  <c r="G46" i="8" s="1"/>
  <c r="F47" i="8"/>
  <c r="F46" i="8" s="1"/>
  <c r="E47" i="8"/>
  <c r="E46" i="8" s="1"/>
  <c r="I45" i="8"/>
  <c r="I44" i="8"/>
  <c r="I43" i="8"/>
  <c r="H42" i="8"/>
  <c r="H41" i="8" s="1"/>
  <c r="G42" i="8"/>
  <c r="G41" i="8" s="1"/>
  <c r="F42" i="8"/>
  <c r="F41" i="8" s="1"/>
  <c r="E42" i="8"/>
  <c r="E41" i="8" s="1"/>
  <c r="I40" i="8"/>
  <c r="H39" i="8"/>
  <c r="G39" i="8"/>
  <c r="F39" i="8"/>
  <c r="E39" i="8"/>
  <c r="I38" i="8"/>
  <c r="H37" i="8"/>
  <c r="G37" i="8"/>
  <c r="F37" i="8"/>
  <c r="E37" i="8"/>
  <c r="I36" i="8"/>
  <c r="I35" i="8"/>
  <c r="H34" i="8"/>
  <c r="G34" i="8"/>
  <c r="F34" i="8"/>
  <c r="E34" i="8"/>
  <c r="I31" i="8"/>
  <c r="H30" i="8"/>
  <c r="H29" i="8" s="1"/>
  <c r="G30" i="8"/>
  <c r="G29" i="8" s="1"/>
  <c r="F30" i="8"/>
  <c r="F29" i="8" s="1"/>
  <c r="E30" i="8"/>
  <c r="I28" i="8"/>
  <c r="I27" i="8"/>
  <c r="H26" i="8"/>
  <c r="G26" i="8"/>
  <c r="F26" i="8"/>
  <c r="E26" i="8"/>
  <c r="I25" i="8"/>
  <c r="H24" i="8"/>
  <c r="G24" i="8"/>
  <c r="F24" i="8"/>
  <c r="E24" i="8"/>
  <c r="I21" i="8"/>
  <c r="H20" i="8"/>
  <c r="H19" i="8" s="1"/>
  <c r="G20" i="8"/>
  <c r="G19" i="8" s="1"/>
  <c r="F20" i="8"/>
  <c r="F19" i="8" s="1"/>
  <c r="E20" i="8"/>
  <c r="E19" i="8" s="1"/>
  <c r="I18" i="8"/>
  <c r="H17" i="8"/>
  <c r="H16" i="8" s="1"/>
  <c r="G17" i="8"/>
  <c r="G16" i="8" s="1"/>
  <c r="F17" i="8"/>
  <c r="F16" i="8" s="1"/>
  <c r="E17" i="8"/>
  <c r="J15" i="8"/>
  <c r="J7" i="8"/>
  <c r="F73" i="7"/>
  <c r="F18" i="7"/>
  <c r="C24" i="5"/>
  <c r="D37" i="6"/>
  <c r="E37" i="6" s="1"/>
  <c r="N72" i="4"/>
  <c r="D67" i="4"/>
  <c r="D62" i="4"/>
  <c r="D60" i="4"/>
  <c r="D58" i="4"/>
  <c r="F64" i="7"/>
  <c r="F61" i="7"/>
  <c r="F54" i="7"/>
  <c r="F42" i="7"/>
  <c r="D35" i="4"/>
  <c r="D30" i="4"/>
  <c r="F30" i="7"/>
  <c r="D22" i="4"/>
  <c r="D19" i="4"/>
  <c r="E11" i="4"/>
  <c r="E10" i="4" s="1"/>
  <c r="Z171" i="3"/>
  <c r="Y171" i="3"/>
  <c r="Q171" i="3"/>
  <c r="O171" i="3"/>
  <c r="N171" i="3"/>
  <c r="M171" i="3"/>
  <c r="H171" i="3"/>
  <c r="G171" i="3"/>
  <c r="F171" i="3"/>
  <c r="E171" i="3"/>
  <c r="D171" i="3"/>
  <c r="C171" i="3"/>
  <c r="AA170" i="3"/>
  <c r="Z169" i="3"/>
  <c r="Y169" i="3"/>
  <c r="Q169" i="3"/>
  <c r="O169" i="3"/>
  <c r="N169" i="3"/>
  <c r="M169" i="3"/>
  <c r="K169" i="3"/>
  <c r="H169" i="3"/>
  <c r="G169" i="3"/>
  <c r="F169" i="3"/>
  <c r="E169" i="3"/>
  <c r="D169" i="3"/>
  <c r="C169" i="3"/>
  <c r="Z167" i="3"/>
  <c r="X167" i="3"/>
  <c r="X156" i="3" s="1"/>
  <c r="W167" i="3"/>
  <c r="W156" i="3" s="1"/>
  <c r="V167" i="3"/>
  <c r="V156" i="3" s="1"/>
  <c r="U167" i="3"/>
  <c r="U156" i="3" s="1"/>
  <c r="Q167" i="3"/>
  <c r="P167" i="3"/>
  <c r="P156" i="3" s="1"/>
  <c r="O167" i="3"/>
  <c r="N167" i="3"/>
  <c r="M167" i="3"/>
  <c r="L167" i="3"/>
  <c r="K167" i="3"/>
  <c r="I167" i="3"/>
  <c r="H167" i="3"/>
  <c r="G167" i="3"/>
  <c r="F167" i="3"/>
  <c r="E167" i="3"/>
  <c r="D167" i="3"/>
  <c r="C167" i="3"/>
  <c r="AA166" i="3"/>
  <c r="Z165" i="3"/>
  <c r="Y165" i="3"/>
  <c r="Q165" i="3"/>
  <c r="O165" i="3"/>
  <c r="N165" i="3"/>
  <c r="M165" i="3"/>
  <c r="L165" i="3"/>
  <c r="K165" i="3"/>
  <c r="H165" i="3"/>
  <c r="G165" i="3"/>
  <c r="F165" i="3"/>
  <c r="E165" i="3"/>
  <c r="D165" i="3"/>
  <c r="C165" i="3"/>
  <c r="AA164" i="3"/>
  <c r="K162" i="3"/>
  <c r="Z160" i="3"/>
  <c r="Q160" i="3"/>
  <c r="O160" i="3"/>
  <c r="L160" i="3"/>
  <c r="H160" i="3"/>
  <c r="G160" i="3"/>
  <c r="E160" i="3"/>
  <c r="D160" i="3"/>
  <c r="C160" i="3"/>
  <c r="Z158" i="3"/>
  <c r="Q158" i="3"/>
  <c r="O158" i="3"/>
  <c r="N158" i="3"/>
  <c r="M158" i="3"/>
  <c r="L158" i="3"/>
  <c r="K158" i="3"/>
  <c r="H158" i="3"/>
  <c r="G158" i="3"/>
  <c r="F158" i="3"/>
  <c r="E158" i="3"/>
  <c r="D158" i="3"/>
  <c r="C158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2" i="3"/>
  <c r="Z101" i="3"/>
  <c r="Q101" i="3"/>
  <c r="L101" i="3"/>
  <c r="K101" i="3"/>
  <c r="J101" i="3"/>
  <c r="I101" i="3"/>
  <c r="G101" i="3"/>
  <c r="F101" i="3"/>
  <c r="E101" i="3"/>
  <c r="D101" i="3"/>
  <c r="C101" i="3"/>
  <c r="AA100" i="3"/>
  <c r="Z98" i="3"/>
  <c r="Y98" i="3"/>
  <c r="Q98" i="3"/>
  <c r="O98" i="3"/>
  <c r="O101" i="3" s="1"/>
  <c r="M98" i="3"/>
  <c r="H98" i="3"/>
  <c r="G98" i="3"/>
  <c r="F98" i="3"/>
  <c r="E98" i="3"/>
  <c r="D98" i="3"/>
  <c r="C98" i="3"/>
  <c r="AA97" i="3"/>
  <c r="AA96" i="3"/>
  <c r="AA95" i="3"/>
  <c r="AA94" i="3"/>
  <c r="Z93" i="3"/>
  <c r="Y93" i="3"/>
  <c r="Q93" i="3"/>
  <c r="O93" i="3"/>
  <c r="N93" i="3"/>
  <c r="M93" i="3"/>
  <c r="H93" i="3"/>
  <c r="G93" i="3"/>
  <c r="G92" i="3" s="1"/>
  <c r="F93" i="3"/>
  <c r="E93" i="3"/>
  <c r="D93" i="3"/>
  <c r="D92" i="3" s="1"/>
  <c r="C93" i="3"/>
  <c r="C92" i="3" s="1"/>
  <c r="L92" i="3"/>
  <c r="K92" i="3"/>
  <c r="J92" i="3"/>
  <c r="I92" i="3"/>
  <c r="AA91" i="3"/>
  <c r="AA90" i="3"/>
  <c r="AA89" i="3"/>
  <c r="Z88" i="3"/>
  <c r="Z87" i="3" s="1"/>
  <c r="Z82" i="3" s="1"/>
  <c r="Y88" i="3"/>
  <c r="Y87" i="3" s="1"/>
  <c r="Y82" i="3" s="1"/>
  <c r="X88" i="3"/>
  <c r="X87" i="3" s="1"/>
  <c r="X82" i="3" s="1"/>
  <c r="W88" i="3"/>
  <c r="W87" i="3" s="1"/>
  <c r="W82" i="3" s="1"/>
  <c r="V88" i="3"/>
  <c r="V87" i="3" s="1"/>
  <c r="V82" i="3" s="1"/>
  <c r="U88" i="3"/>
  <c r="U87" i="3" s="1"/>
  <c r="U82" i="3" s="1"/>
  <c r="T88" i="3"/>
  <c r="T87" i="3" s="1"/>
  <c r="T82" i="3" s="1"/>
  <c r="S88" i="3"/>
  <c r="S87" i="3" s="1"/>
  <c r="S82" i="3" s="1"/>
  <c r="R88" i="3"/>
  <c r="R87" i="3" s="1"/>
  <c r="R82" i="3" s="1"/>
  <c r="Q88" i="3"/>
  <c r="Q87" i="3" s="1"/>
  <c r="Q82" i="3" s="1"/>
  <c r="P88" i="3"/>
  <c r="P87" i="3" s="1"/>
  <c r="P82" i="3" s="1"/>
  <c r="O88" i="3"/>
  <c r="O87" i="3" s="1"/>
  <c r="O82" i="3" s="1"/>
  <c r="N88" i="3"/>
  <c r="N87" i="3" s="1"/>
  <c r="N82" i="3" s="1"/>
  <c r="M88" i="3"/>
  <c r="M87" i="3" s="1"/>
  <c r="M82" i="3" s="1"/>
  <c r="L88" i="3"/>
  <c r="L87" i="3" s="1"/>
  <c r="L82" i="3" s="1"/>
  <c r="K88" i="3"/>
  <c r="I88" i="3"/>
  <c r="I87" i="3" s="1"/>
  <c r="I82" i="3" s="1"/>
  <c r="H88" i="3"/>
  <c r="H87" i="3" s="1"/>
  <c r="H82" i="3" s="1"/>
  <c r="G88" i="3"/>
  <c r="G87" i="3" s="1"/>
  <c r="G82" i="3" s="1"/>
  <c r="E88" i="3"/>
  <c r="J87" i="3"/>
  <c r="J82" i="3" s="1"/>
  <c r="F87" i="3"/>
  <c r="F82" i="3" s="1"/>
  <c r="E87" i="3"/>
  <c r="E82" i="3" s="1"/>
  <c r="D87" i="3"/>
  <c r="D82" i="3" s="1"/>
  <c r="C87" i="3"/>
  <c r="C82" i="3" s="1"/>
  <c r="AA86" i="3"/>
  <c r="AA85" i="3"/>
  <c r="AA84" i="3"/>
  <c r="AA83" i="3"/>
  <c r="AA81" i="3"/>
  <c r="AA80" i="3"/>
  <c r="AA79" i="3"/>
  <c r="AA78" i="3"/>
  <c r="AA77" i="3"/>
  <c r="AA76" i="3"/>
  <c r="AA75" i="3"/>
  <c r="AA73" i="3"/>
  <c r="Z72" i="3"/>
  <c r="Y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AA71" i="3"/>
  <c r="AA70" i="3"/>
  <c r="AA68" i="3"/>
  <c r="AA67" i="3"/>
  <c r="AA66" i="3"/>
  <c r="AA64" i="3"/>
  <c r="AA63" i="3"/>
  <c r="AA62" i="3"/>
  <c r="AA61" i="3"/>
  <c r="AA60" i="3"/>
  <c r="AA59" i="3"/>
  <c r="AA58" i="3"/>
  <c r="AA57" i="3"/>
  <c r="AA56" i="3"/>
  <c r="D55" i="3"/>
  <c r="C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V40" i="3"/>
  <c r="D41" i="3"/>
  <c r="C41" i="3"/>
  <c r="AA39" i="3"/>
  <c r="AA38" i="3"/>
  <c r="AA37" i="3"/>
  <c r="AA36" i="3"/>
  <c r="Z35" i="3"/>
  <c r="Y35" i="3"/>
  <c r="Y34" i="3" s="1"/>
  <c r="X35" i="3"/>
  <c r="X34" i="3" s="1"/>
  <c r="W35" i="3"/>
  <c r="W34" i="3" s="1"/>
  <c r="V35" i="3"/>
  <c r="V34" i="3" s="1"/>
  <c r="U35" i="3"/>
  <c r="U34" i="3" s="1"/>
  <c r="T35" i="3"/>
  <c r="S35" i="3"/>
  <c r="S34" i="3" s="1"/>
  <c r="R35" i="3"/>
  <c r="R34" i="3" s="1"/>
  <c r="Q35" i="3"/>
  <c r="Q34" i="3" s="1"/>
  <c r="P35" i="3"/>
  <c r="P34" i="3" s="1"/>
  <c r="O35" i="3"/>
  <c r="O34" i="3" s="1"/>
  <c r="N35" i="3"/>
  <c r="N34" i="3" s="1"/>
  <c r="M35" i="3"/>
  <c r="M34" i="3" s="1"/>
  <c r="L35" i="3"/>
  <c r="L34" i="3" s="1"/>
  <c r="K35" i="3"/>
  <c r="K34" i="3" s="1"/>
  <c r="J35" i="3"/>
  <c r="J34" i="3" s="1"/>
  <c r="I35" i="3"/>
  <c r="I34" i="3" s="1"/>
  <c r="H35" i="3"/>
  <c r="H34" i="3" s="1"/>
  <c r="G35" i="3"/>
  <c r="G34" i="3" s="1"/>
  <c r="F35" i="3"/>
  <c r="F34" i="3" s="1"/>
  <c r="E35" i="3"/>
  <c r="E34" i="3" s="1"/>
  <c r="D35" i="3"/>
  <c r="D34" i="3" s="1"/>
  <c r="C35" i="3"/>
  <c r="C34" i="3" s="1"/>
  <c r="Z34" i="3"/>
  <c r="AA33" i="3"/>
  <c r="AA32" i="3"/>
  <c r="AA31" i="3"/>
  <c r="AA30" i="3"/>
  <c r="AA29" i="3"/>
  <c r="AA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A26" i="3"/>
  <c r="AA25" i="3"/>
  <c r="AA23" i="3"/>
  <c r="AA22" i="3"/>
  <c r="AA21" i="3"/>
  <c r="AA20" i="3"/>
  <c r="AA19" i="3"/>
  <c r="AA18" i="3"/>
  <c r="Z17" i="3"/>
  <c r="Z11" i="3" s="1"/>
  <c r="Y17" i="3"/>
  <c r="Y11" i="3" s="1"/>
  <c r="X17" i="3"/>
  <c r="X11" i="3" s="1"/>
  <c r="W17" i="3"/>
  <c r="V17" i="3"/>
  <c r="U17" i="3"/>
  <c r="T17" i="3"/>
  <c r="S17" i="3"/>
  <c r="R17" i="3"/>
  <c r="Q17" i="3"/>
  <c r="Q11" i="3" s="1"/>
  <c r="Q10" i="3" s="1"/>
  <c r="P17" i="3"/>
  <c r="O17" i="3"/>
  <c r="N17" i="3"/>
  <c r="N11" i="3" s="1"/>
  <c r="M17" i="3"/>
  <c r="M11" i="3" s="1"/>
  <c r="L17" i="3"/>
  <c r="L11" i="3" s="1"/>
  <c r="K17" i="3"/>
  <c r="J17" i="3"/>
  <c r="I17" i="3"/>
  <c r="H17" i="3"/>
  <c r="F17" i="3"/>
  <c r="E17" i="3"/>
  <c r="D17" i="3"/>
  <c r="C17" i="3"/>
  <c r="AA16" i="3"/>
  <c r="AA15" i="3"/>
  <c r="AA14" i="3"/>
  <c r="AA13" i="3"/>
  <c r="E12" i="3"/>
  <c r="D12" i="3"/>
  <c r="C12" i="3"/>
  <c r="F134" i="2"/>
  <c r="F133" i="2"/>
  <c r="F132" i="2"/>
  <c r="F131" i="2"/>
  <c r="E130" i="2"/>
  <c r="C16" i="5" s="1"/>
  <c r="E16" i="5" s="1"/>
  <c r="D130" i="2"/>
  <c r="F129" i="2"/>
  <c r="E128" i="2"/>
  <c r="D128" i="2"/>
  <c r="F127" i="2"/>
  <c r="F126" i="2"/>
  <c r="E125" i="2"/>
  <c r="D125" i="2"/>
  <c r="F124" i="2"/>
  <c r="F123" i="2"/>
  <c r="F122" i="2"/>
  <c r="F121" i="2"/>
  <c r="E120" i="2"/>
  <c r="D120" i="2"/>
  <c r="F119" i="2"/>
  <c r="E118" i="2"/>
  <c r="D118" i="2"/>
  <c r="F117" i="2"/>
  <c r="D116" i="2"/>
  <c r="F116" i="2" s="1"/>
  <c r="F115" i="2"/>
  <c r="E114" i="2"/>
  <c r="E83" i="2" s="1"/>
  <c r="D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D84" i="2"/>
  <c r="F84" i="2" s="1"/>
  <c r="F88" i="2"/>
  <c r="F87" i="2"/>
  <c r="F86" i="2"/>
  <c r="F85" i="2"/>
  <c r="F82" i="2"/>
  <c r="E81" i="2"/>
  <c r="D81" i="2"/>
  <c r="F79" i="2"/>
  <c r="F78" i="2"/>
  <c r="F77" i="2"/>
  <c r="F76" i="2"/>
  <c r="F75" i="2"/>
  <c r="F74" i="2"/>
  <c r="F73" i="2"/>
  <c r="F72" i="2"/>
  <c r="E71" i="2"/>
  <c r="D71" i="2"/>
  <c r="D66" i="2" s="1"/>
  <c r="F70" i="2"/>
  <c r="F69" i="2"/>
  <c r="F68" i="2"/>
  <c r="F67" i="2"/>
  <c r="T66" i="2"/>
  <c r="P64" i="2"/>
  <c r="F64" i="2"/>
  <c r="P62" i="2"/>
  <c r="D62" i="2"/>
  <c r="T61" i="2"/>
  <c r="F61" i="2"/>
  <c r="P60" i="2"/>
  <c r="P61" i="2" s="1"/>
  <c r="F60" i="2"/>
  <c r="E59" i="2"/>
  <c r="D59" i="2"/>
  <c r="F57" i="2"/>
  <c r="F55" i="2"/>
  <c r="F54" i="2"/>
  <c r="D53" i="2"/>
  <c r="F52" i="2"/>
  <c r="F51" i="2"/>
  <c r="F50" i="2"/>
  <c r="F49" i="2"/>
  <c r="E48" i="2"/>
  <c r="D48" i="2"/>
  <c r="F46" i="2"/>
  <c r="F45" i="2"/>
  <c r="F44" i="2"/>
  <c r="F43" i="2"/>
  <c r="E42" i="2"/>
  <c r="D42" i="2"/>
  <c r="F41" i="2"/>
  <c r="F40" i="2"/>
  <c r="Q40" i="2" s="1"/>
  <c r="F39" i="2"/>
  <c r="F38" i="2"/>
  <c r="E37" i="2"/>
  <c r="D37" i="2"/>
  <c r="F34" i="2"/>
  <c r="E33" i="2"/>
  <c r="D33" i="2"/>
  <c r="F32" i="2"/>
  <c r="F31" i="2"/>
  <c r="E30" i="2"/>
  <c r="D30" i="2"/>
  <c r="F29" i="2"/>
  <c r="F28" i="2"/>
  <c r="E27" i="2"/>
  <c r="D27" i="2"/>
  <c r="F26" i="2"/>
  <c r="F25" i="2"/>
  <c r="E24" i="2"/>
  <c r="D24" i="2"/>
  <c r="F23" i="2"/>
  <c r="E22" i="2"/>
  <c r="E21" i="2" s="1"/>
  <c r="D22" i="2"/>
  <c r="D21" i="2" s="1"/>
  <c r="F19" i="2"/>
  <c r="F18" i="2"/>
  <c r="E17" i="2"/>
  <c r="E16" i="2" s="1"/>
  <c r="D17" i="2"/>
  <c r="D16" i="2" s="1"/>
  <c r="Q6" i="2"/>
  <c r="D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D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D45" i="10"/>
  <c r="E44" i="10"/>
  <c r="E43" i="10"/>
  <c r="D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D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H12" i="11"/>
  <c r="B12" i="11"/>
  <c r="B11" i="11"/>
  <c r="B10" i="11"/>
  <c r="B9" i="11"/>
  <c r="B8" i="11"/>
  <c r="H7" i="11"/>
  <c r="B7" i="11"/>
  <c r="B6" i="11"/>
  <c r="B5" i="11"/>
  <c r="B4" i="11"/>
  <c r="B3" i="11"/>
  <c r="F161" i="3"/>
  <c r="L28" i="14"/>
  <c r="H41" i="1"/>
  <c r="H19" i="1"/>
  <c r="H35" i="1"/>
  <c r="H44" i="1"/>
  <c r="H8" i="1"/>
  <c r="R11" i="3" l="1"/>
  <c r="R10" i="3" s="1"/>
  <c r="H11" i="3"/>
  <c r="H10" i="3" s="1"/>
  <c r="T11" i="3"/>
  <c r="T10" i="3" s="1"/>
  <c r="F11" i="3"/>
  <c r="F10" i="3" s="1"/>
  <c r="M10" i="3"/>
  <c r="Y10" i="3"/>
  <c r="S11" i="3"/>
  <c r="S10" i="3" s="1"/>
  <c r="L10" i="3"/>
  <c r="X10" i="3"/>
  <c r="E92" i="3"/>
  <c r="I11" i="3"/>
  <c r="I10" i="3" s="1"/>
  <c r="U11" i="3"/>
  <c r="U10" i="3" s="1"/>
  <c r="J11" i="3"/>
  <c r="J10" i="3" s="1"/>
  <c r="V11" i="3"/>
  <c r="V10" i="3" s="1"/>
  <c r="V9" i="3" s="1"/>
  <c r="K11" i="3"/>
  <c r="K10" i="3" s="1"/>
  <c r="W11" i="3"/>
  <c r="W10" i="3" s="1"/>
  <c r="AA41" i="3"/>
  <c r="N10" i="3"/>
  <c r="Z10" i="3"/>
  <c r="O11" i="3"/>
  <c r="O10" i="3" s="1"/>
  <c r="P11" i="3"/>
  <c r="P10" i="3" s="1"/>
  <c r="D40" i="3"/>
  <c r="R40" i="3"/>
  <c r="R9" i="3" s="1"/>
  <c r="I27" i="6" s="1"/>
  <c r="N40" i="3"/>
  <c r="E162" i="3"/>
  <c r="E157" i="3" s="1"/>
  <c r="E156" i="3" s="1"/>
  <c r="D18" i="4" s="1"/>
  <c r="L40" i="3"/>
  <c r="M40" i="3"/>
  <c r="U40" i="3"/>
  <c r="T40" i="3"/>
  <c r="D20" i="2"/>
  <c r="B4" i="14"/>
  <c r="E4" i="1"/>
  <c r="E6" i="1"/>
  <c r="B6" i="14"/>
  <c r="B10" i="14"/>
  <c r="E11" i="1"/>
  <c r="E24" i="1"/>
  <c r="B23" i="14"/>
  <c r="B27" i="14"/>
  <c r="E28" i="1"/>
  <c r="E33" i="1"/>
  <c r="B32" i="14"/>
  <c r="E39" i="1"/>
  <c r="B39" i="14"/>
  <c r="B43" i="14"/>
  <c r="E43" i="1"/>
  <c r="B11" i="14"/>
  <c r="E38" i="4" s="1"/>
  <c r="F38" i="4" s="1"/>
  <c r="E12" i="1"/>
  <c r="B17" i="14"/>
  <c r="E18" i="1"/>
  <c r="E21" i="1"/>
  <c r="B20" i="14"/>
  <c r="E25" i="1"/>
  <c r="B24" i="14"/>
  <c r="E30" i="1"/>
  <c r="B29" i="14"/>
  <c r="E57" i="4" s="1"/>
  <c r="E70" i="7" s="1"/>
  <c r="F70" i="7" s="1"/>
  <c r="E40" i="1"/>
  <c r="B40" i="14"/>
  <c r="E31" i="1"/>
  <c r="B30" i="14"/>
  <c r="E40" i="4" s="1"/>
  <c r="E46" i="7" s="1"/>
  <c r="F46" i="7" s="1"/>
  <c r="B33" i="14"/>
  <c r="E50" i="4" s="1"/>
  <c r="E10" i="1"/>
  <c r="E8" i="1"/>
  <c r="B8" i="14"/>
  <c r="E16" i="1"/>
  <c r="B15" i="14"/>
  <c r="B34" i="14"/>
  <c r="E34" i="1"/>
  <c r="E7" i="1"/>
  <c r="B7" i="14"/>
  <c r="E15" i="1"/>
  <c r="B14" i="14"/>
  <c r="B36" i="14"/>
  <c r="E36" i="1"/>
  <c r="B41" i="14"/>
  <c r="E42" i="1"/>
  <c r="B2" i="14"/>
  <c r="E2" i="1"/>
  <c r="B35" i="14"/>
  <c r="E35" i="1"/>
  <c r="E13" i="1"/>
  <c r="B12" i="14"/>
  <c r="B18" i="14"/>
  <c r="E19" i="1"/>
  <c r="E22" i="1"/>
  <c r="B21" i="14"/>
  <c r="B25" i="14"/>
  <c r="E32" i="4" s="1"/>
  <c r="N32" i="4" s="1"/>
  <c r="E26" i="1"/>
  <c r="E37" i="1"/>
  <c r="B37" i="14"/>
  <c r="E29" i="1"/>
  <c r="B28" i="14"/>
  <c r="E17" i="1"/>
  <c r="B16" i="14"/>
  <c r="E69" i="4" s="1"/>
  <c r="F69" i="4" s="1"/>
  <c r="E45" i="1"/>
  <c r="B45" i="14"/>
  <c r="B3" i="14"/>
  <c r="E3" i="1"/>
  <c r="E5" i="1"/>
  <c r="B5" i="14"/>
  <c r="B9" i="14"/>
  <c r="E9" i="1"/>
  <c r="E14" i="1"/>
  <c r="B13" i="14"/>
  <c r="B19" i="14"/>
  <c r="E27" i="4" s="1"/>
  <c r="E20" i="1"/>
  <c r="B22" i="14"/>
  <c r="E23" i="1"/>
  <c r="B26" i="14"/>
  <c r="E27" i="1"/>
  <c r="E32" i="1"/>
  <c r="B31" i="14"/>
  <c r="E38" i="1"/>
  <c r="B38" i="14"/>
  <c r="B42" i="14"/>
  <c r="E41" i="1"/>
  <c r="B44" i="14"/>
  <c r="E44" i="1"/>
  <c r="H92" i="3"/>
  <c r="N162" i="3"/>
  <c r="Q40" i="3"/>
  <c r="E36" i="2"/>
  <c r="Y92" i="3"/>
  <c r="F27" i="2"/>
  <c r="F33" i="2"/>
  <c r="F48" i="2"/>
  <c r="E20" i="2"/>
  <c r="F20" i="2" s="1"/>
  <c r="H40" i="3"/>
  <c r="F128" i="2"/>
  <c r="F22" i="2"/>
  <c r="D47" i="2"/>
  <c r="D15" i="2"/>
  <c r="Z162" i="3"/>
  <c r="Z157" i="3" s="1"/>
  <c r="Z156" i="3" s="1"/>
  <c r="F162" i="3"/>
  <c r="Q92" i="3"/>
  <c r="E80" i="2"/>
  <c r="F42" i="2"/>
  <c r="E12" i="6"/>
  <c r="S40" i="3"/>
  <c r="S9" i="3" s="1"/>
  <c r="E15" i="6"/>
  <c r="E16" i="6"/>
  <c r="F114" i="2"/>
  <c r="F120" i="2"/>
  <c r="Z40" i="3"/>
  <c r="F23" i="8"/>
  <c r="F22" i="8" s="1"/>
  <c r="E65" i="4"/>
  <c r="F65" i="4" s="1"/>
  <c r="G15" i="8"/>
  <c r="I96" i="8"/>
  <c r="F25" i="7"/>
  <c r="F39" i="7"/>
  <c r="C40" i="3"/>
  <c r="G40" i="3"/>
  <c r="P40" i="3"/>
  <c r="X40" i="3"/>
  <c r="X9" i="3" s="1"/>
  <c r="Z92" i="3"/>
  <c r="F37" i="7"/>
  <c r="E61" i="10"/>
  <c r="F24" i="2"/>
  <c r="D36" i="2"/>
  <c r="D58" i="2"/>
  <c r="F59" i="2"/>
  <c r="F92" i="3"/>
  <c r="E45" i="10"/>
  <c r="E76" i="10"/>
  <c r="F125" i="2"/>
  <c r="O92" i="3"/>
  <c r="I34" i="8"/>
  <c r="G33" i="8"/>
  <c r="G32" i="8" s="1"/>
  <c r="E24" i="10"/>
  <c r="E79" i="10"/>
  <c r="F71" i="2"/>
  <c r="F118" i="2"/>
  <c r="AA27" i="3"/>
  <c r="F40" i="3"/>
  <c r="J40" i="3"/>
  <c r="I40" i="3"/>
  <c r="C162" i="3"/>
  <c r="C157" i="3" s="1"/>
  <c r="C156" i="3" s="1"/>
  <c r="G162" i="3"/>
  <c r="G157" i="3" s="1"/>
  <c r="G156" i="3" s="1"/>
  <c r="D162" i="3"/>
  <c r="D157" i="3" s="1"/>
  <c r="D156" i="3" s="1"/>
  <c r="E13" i="6"/>
  <c r="F33" i="8"/>
  <c r="F32" i="8" s="1"/>
  <c r="H33" i="8"/>
  <c r="H32" i="8" s="1"/>
  <c r="I121" i="8"/>
  <c r="E23" i="8"/>
  <c r="G23" i="8"/>
  <c r="G22" i="8" s="1"/>
  <c r="H15" i="8"/>
  <c r="F15" i="8"/>
  <c r="I62" i="8"/>
  <c r="I24" i="8"/>
  <c r="E40" i="3"/>
  <c r="L157" i="3"/>
  <c r="L156" i="3" s="1"/>
  <c r="M157" i="3"/>
  <c r="M156" i="3" s="1"/>
  <c r="O162" i="3"/>
  <c r="O157" i="3" s="1"/>
  <c r="O156" i="3" s="1"/>
  <c r="AA169" i="3"/>
  <c r="I31" i="6"/>
  <c r="AA88" i="3"/>
  <c r="AA165" i="3"/>
  <c r="Q162" i="3"/>
  <c r="Q157" i="3" s="1"/>
  <c r="Q156" i="3" s="1"/>
  <c r="C11" i="3"/>
  <c r="C10" i="3" s="1"/>
  <c r="H162" i="3"/>
  <c r="H157" i="3" s="1"/>
  <c r="H156" i="3" s="1"/>
  <c r="O40" i="3"/>
  <c r="W40" i="3"/>
  <c r="I37" i="8"/>
  <c r="G71" i="8"/>
  <c r="I39" i="8"/>
  <c r="H71" i="8"/>
  <c r="I91" i="8"/>
  <c r="E120" i="8"/>
  <c r="I120" i="8" s="1"/>
  <c r="I69" i="8"/>
  <c r="E33" i="8"/>
  <c r="G58" i="8"/>
  <c r="I86" i="8"/>
  <c r="AA74" i="3"/>
  <c r="E72" i="3"/>
  <c r="AA72" i="3" s="1"/>
  <c r="D14" i="4" s="1"/>
  <c r="G51" i="9"/>
  <c r="G49" i="9" s="1"/>
  <c r="D63" i="9" s="1"/>
  <c r="F63" i="9" s="1"/>
  <c r="E39" i="10"/>
  <c r="I41" i="8"/>
  <c r="F81" i="2"/>
  <c r="F16" i="2"/>
  <c r="I72" i="8"/>
  <c r="E66" i="2"/>
  <c r="I19" i="8"/>
  <c r="I20" i="8"/>
  <c r="F17" i="2"/>
  <c r="D83" i="2"/>
  <c r="F83" i="2" s="1"/>
  <c r="F89" i="2"/>
  <c r="K87" i="3"/>
  <c r="K82" i="3" s="1"/>
  <c r="AA82" i="3" s="1"/>
  <c r="D15" i="4" s="1"/>
  <c r="I46" i="8"/>
  <c r="I66" i="8"/>
  <c r="E65" i="8"/>
  <c r="I65" i="8" s="1"/>
  <c r="F37" i="2"/>
  <c r="D80" i="2"/>
  <c r="AA35" i="3"/>
  <c r="I17" i="8"/>
  <c r="E16" i="8"/>
  <c r="I16" i="8" s="1"/>
  <c r="I30" i="8"/>
  <c r="E29" i="8"/>
  <c r="I29" i="8" s="1"/>
  <c r="I79" i="8"/>
  <c r="E78" i="8"/>
  <c r="I78" i="8" s="1"/>
  <c r="G11" i="9"/>
  <c r="F21" i="2"/>
  <c r="D11" i="3"/>
  <c r="D10" i="3" s="1"/>
  <c r="F31" i="7"/>
  <c r="F30" i="2"/>
  <c r="AA34" i="3"/>
  <c r="AA93" i="3"/>
  <c r="H23" i="8"/>
  <c r="H22" i="8" s="1"/>
  <c r="I26" i="8"/>
  <c r="I47" i="8"/>
  <c r="I50" i="8"/>
  <c r="I51" i="8"/>
  <c r="I55" i="8"/>
  <c r="E54" i="8"/>
  <c r="I54" i="8" s="1"/>
  <c r="I95" i="8"/>
  <c r="AA12" i="3"/>
  <c r="F62" i="7"/>
  <c r="F56" i="7"/>
  <c r="I59" i="8"/>
  <c r="F71" i="8"/>
  <c r="I87" i="8"/>
  <c r="G13" i="9"/>
  <c r="M92" i="3"/>
  <c r="F58" i="8"/>
  <c r="H61" i="8"/>
  <c r="I61" i="8" s="1"/>
  <c r="I73" i="8"/>
  <c r="I90" i="8"/>
  <c r="I118" i="8"/>
  <c r="E117" i="8"/>
  <c r="E11" i="3"/>
  <c r="E10" i="3" s="1"/>
  <c r="I42" i="8"/>
  <c r="I68" i="8"/>
  <c r="I99" i="8"/>
  <c r="E98" i="8"/>
  <c r="I98" i="8" s="1"/>
  <c r="F116" i="8"/>
  <c r="E14" i="6"/>
  <c r="AA24" i="3"/>
  <c r="G17" i="3"/>
  <c r="G11" i="3" s="1"/>
  <c r="G10" i="3" s="1"/>
  <c r="AA172" i="3"/>
  <c r="K171" i="3"/>
  <c r="AA171" i="3" s="1"/>
  <c r="AA103" i="3"/>
  <c r="H101" i="3"/>
  <c r="N160" i="3"/>
  <c r="AA168" i="3"/>
  <c r="J167" i="3"/>
  <c r="Y160" i="3"/>
  <c r="Y167" i="3"/>
  <c r="Y162" i="3" s="1"/>
  <c r="F17" i="9"/>
  <c r="Y101" i="3"/>
  <c r="AA99" i="3"/>
  <c r="N98" i="3"/>
  <c r="Y158" i="3"/>
  <c r="AA159" i="3"/>
  <c r="AA163" i="3"/>
  <c r="AA161" i="3"/>
  <c r="F160" i="3"/>
  <c r="M101" i="3"/>
  <c r="AA69" i="3"/>
  <c r="AA55" i="3" s="1"/>
  <c r="N101" i="3"/>
  <c r="I160" i="3"/>
  <c r="I157" i="3" s="1"/>
  <c r="I156" i="3" s="1"/>
  <c r="Y40" i="3"/>
  <c r="P101" i="3"/>
  <c r="K160" i="3"/>
  <c r="G26" i="9"/>
  <c r="F130" i="2"/>
  <c r="F16" i="9"/>
  <c r="H24" i="1"/>
  <c r="H42" i="1"/>
  <c r="H9" i="1"/>
  <c r="H12" i="1"/>
  <c r="H2" i="1"/>
  <c r="H28" i="1"/>
  <c r="H5" i="1"/>
  <c r="H17" i="1"/>
  <c r="H26" i="1"/>
  <c r="H40" i="1"/>
  <c r="H33" i="1"/>
  <c r="H3" i="1"/>
  <c r="H31" i="1"/>
  <c r="H29" i="1"/>
  <c r="H21" i="1"/>
  <c r="H18" i="1"/>
  <c r="H16" i="1"/>
  <c r="H10" i="1"/>
  <c r="H7" i="1"/>
  <c r="H38" i="1"/>
  <c r="H30" i="1"/>
  <c r="H39" i="1"/>
  <c r="H45" i="1"/>
  <c r="H20" i="1"/>
  <c r="H14" i="1"/>
  <c r="H4" i="1"/>
  <c r="H37" i="1"/>
  <c r="H11" i="1"/>
  <c r="H36" i="1"/>
  <c r="H23" i="1"/>
  <c r="H13" i="1"/>
  <c r="H25" i="1"/>
  <c r="H22" i="1"/>
  <c r="H43" i="1"/>
  <c r="H34" i="1"/>
  <c r="H6" i="1"/>
  <c r="H32" i="1"/>
  <c r="H15" i="1"/>
  <c r="H27" i="1"/>
  <c r="F14" i="4" l="1"/>
  <c r="J12" i="4" s="1"/>
  <c r="D14" i="7"/>
  <c r="F27" i="4"/>
  <c r="E28" i="7"/>
  <c r="F50" i="4"/>
  <c r="E55" i="7"/>
  <c r="W9" i="3"/>
  <c r="M9" i="3"/>
  <c r="L9" i="3"/>
  <c r="H9" i="3"/>
  <c r="Q9" i="3"/>
  <c r="U9" i="3"/>
  <c r="I30" i="6" s="1"/>
  <c r="Z9" i="3"/>
  <c r="I9" i="3"/>
  <c r="P9" i="3"/>
  <c r="G9" i="3"/>
  <c r="O9" i="3"/>
  <c r="I24" i="6" s="1"/>
  <c r="T9" i="3"/>
  <c r="I29" i="6" s="1"/>
  <c r="F18" i="4"/>
  <c r="J16" i="4" s="1"/>
  <c r="I28" i="6"/>
  <c r="K156" i="3"/>
  <c r="I21" i="6"/>
  <c r="E15" i="2"/>
  <c r="F36" i="2"/>
  <c r="F35" i="9"/>
  <c r="D68" i="9" s="1"/>
  <c r="N157" i="3"/>
  <c r="N156" i="3" s="1"/>
  <c r="E80" i="10"/>
  <c r="I35" i="6"/>
  <c r="D35" i="2"/>
  <c r="C14" i="9" s="1"/>
  <c r="E14" i="9" s="1"/>
  <c r="I33" i="6"/>
  <c r="F15" i="2"/>
  <c r="C9" i="3"/>
  <c r="I12" i="6" s="1"/>
  <c r="D9" i="3"/>
  <c r="I13" i="6" s="1"/>
  <c r="E78" i="7"/>
  <c r="F78" i="7" s="1"/>
  <c r="N57" i="4"/>
  <c r="F57" i="4"/>
  <c r="F40" i="4"/>
  <c r="E35" i="7"/>
  <c r="F35" i="7" s="1"/>
  <c r="F32" i="4"/>
  <c r="E41" i="4"/>
  <c r="F41" i="4" s="1"/>
  <c r="E68" i="4"/>
  <c r="E81" i="7" s="1"/>
  <c r="E37" i="4"/>
  <c r="E43" i="7" s="1"/>
  <c r="F43" i="7" s="1"/>
  <c r="E44" i="4"/>
  <c r="F44" i="4" s="1"/>
  <c r="E64" i="4"/>
  <c r="E31" i="4"/>
  <c r="F31" i="4" s="1"/>
  <c r="E29" i="4"/>
  <c r="E32" i="7" s="1"/>
  <c r="F32" i="7" s="1"/>
  <c r="E49" i="4"/>
  <c r="N49" i="4" s="1"/>
  <c r="E39" i="4"/>
  <c r="F39" i="4" s="1"/>
  <c r="E56" i="4"/>
  <c r="E69" i="7" s="1"/>
  <c r="F69" i="7" s="1"/>
  <c r="E42" i="4"/>
  <c r="F42" i="4" s="1"/>
  <c r="E51" i="4"/>
  <c r="E63" i="7" s="1"/>
  <c r="F63" i="7" s="1"/>
  <c r="E52" i="4"/>
  <c r="F52" i="4" s="1"/>
  <c r="E25" i="4"/>
  <c r="F25" i="4" s="1"/>
  <c r="E63" i="4"/>
  <c r="N63" i="4" s="1"/>
  <c r="E36" i="4"/>
  <c r="E41" i="7" s="1"/>
  <c r="E53" i="4"/>
  <c r="E66" i="7" s="1"/>
  <c r="F66" i="7" s="1"/>
  <c r="E66" i="4"/>
  <c r="E79" i="7" s="1"/>
  <c r="F79" i="7" s="1"/>
  <c r="E34" i="4"/>
  <c r="F47" i="7"/>
  <c r="E21" i="4"/>
  <c r="F21" i="4" s="1"/>
  <c r="E20" i="4"/>
  <c r="E20" i="7" s="1"/>
  <c r="E28" i="4"/>
  <c r="E29" i="7" s="1"/>
  <c r="F29" i="7" s="1"/>
  <c r="E46" i="4"/>
  <c r="E48" i="4"/>
  <c r="N48" i="4" s="1"/>
  <c r="E55" i="4"/>
  <c r="N55" i="4" s="1"/>
  <c r="E47" i="4"/>
  <c r="E45" i="4"/>
  <c r="E59" i="4"/>
  <c r="E58" i="4" s="1"/>
  <c r="F58" i="4" s="1"/>
  <c r="E61" i="4"/>
  <c r="N61" i="4" s="1"/>
  <c r="E54" i="4"/>
  <c r="E67" i="7" s="1"/>
  <c r="F67" i="7" s="1"/>
  <c r="E24" i="4"/>
  <c r="F24" i="4" s="1"/>
  <c r="E70" i="4"/>
  <c r="E83" i="7" s="1"/>
  <c r="F83" i="7" s="1"/>
  <c r="E33" i="4"/>
  <c r="E36" i="7" s="1"/>
  <c r="F36" i="7" s="1"/>
  <c r="E23" i="4"/>
  <c r="E23" i="7" s="1"/>
  <c r="E43" i="4"/>
  <c r="E50" i="7" s="1"/>
  <c r="F50" i="7" s="1"/>
  <c r="E26" i="4"/>
  <c r="N69" i="4"/>
  <c r="E44" i="7"/>
  <c r="F44" i="7" s="1"/>
  <c r="F53" i="7"/>
  <c r="E82" i="7"/>
  <c r="F82" i="7" s="1"/>
  <c r="I33" i="8"/>
  <c r="I32" i="8" s="1"/>
  <c r="C38" i="5" s="1"/>
  <c r="E58" i="8"/>
  <c r="I26" i="6"/>
  <c r="I23" i="8"/>
  <c r="E22" i="8"/>
  <c r="I22" i="8" s="1"/>
  <c r="C37" i="5" s="1"/>
  <c r="G14" i="8"/>
  <c r="E56" i="2" s="1"/>
  <c r="F56" i="2" s="1"/>
  <c r="F14" i="8"/>
  <c r="AA162" i="3"/>
  <c r="I32" i="6"/>
  <c r="H58" i="8"/>
  <c r="H14" i="8" s="1"/>
  <c r="C28" i="5"/>
  <c r="C22" i="9"/>
  <c r="E22" i="9" s="1"/>
  <c r="G22" i="9" s="1"/>
  <c r="E9" i="3"/>
  <c r="I14" i="6" s="1"/>
  <c r="C23" i="9"/>
  <c r="E23" i="9" s="1"/>
  <c r="G23" i="9" s="1"/>
  <c r="F14" i="7"/>
  <c r="F15" i="4"/>
  <c r="J13" i="4" s="1"/>
  <c r="C29" i="5"/>
  <c r="E71" i="8"/>
  <c r="I71" i="8" s="1"/>
  <c r="C40" i="5" s="1"/>
  <c r="F80" i="2"/>
  <c r="D65" i="2"/>
  <c r="C12" i="9"/>
  <c r="E32" i="8"/>
  <c r="I117" i="8"/>
  <c r="E116" i="8"/>
  <c r="I116" i="8" s="1"/>
  <c r="C41" i="5" s="1"/>
  <c r="E65" i="2"/>
  <c r="F66" i="2"/>
  <c r="AA87" i="3"/>
  <c r="E15" i="8"/>
  <c r="AA98" i="3"/>
  <c r="N92" i="3"/>
  <c r="N9" i="3" s="1"/>
  <c r="AA101" i="3"/>
  <c r="D17" i="4" s="1"/>
  <c r="D17" i="7" s="1"/>
  <c r="F17" i="7" s="1"/>
  <c r="F157" i="3"/>
  <c r="AA160" i="3"/>
  <c r="Y157" i="3"/>
  <c r="Y156" i="3" s="1"/>
  <c r="Y9" i="3" s="1"/>
  <c r="AA158" i="3"/>
  <c r="K40" i="3"/>
  <c r="AA17" i="3"/>
  <c r="AA167" i="3"/>
  <c r="J156" i="3"/>
  <c r="J9" i="3" s="1"/>
  <c r="G16" i="9"/>
  <c r="L15" i="9"/>
  <c r="I22" i="6"/>
  <c r="I18" i="6"/>
  <c r="I17" i="6"/>
  <c r="I19" i="6"/>
  <c r="I34" i="6"/>
  <c r="F55" i="7" l="1"/>
  <c r="K9" i="3"/>
  <c r="F20" i="7"/>
  <c r="F23" i="7"/>
  <c r="F81" i="7"/>
  <c r="E80" i="7"/>
  <c r="F80" i="7" s="1"/>
  <c r="F41" i="7"/>
  <c r="D13" i="2"/>
  <c r="Q22" i="2" s="1"/>
  <c r="E76" i="7"/>
  <c r="N28" i="4"/>
  <c r="E62" i="4"/>
  <c r="N62" i="4" s="1"/>
  <c r="N31" i="4"/>
  <c r="N53" i="4"/>
  <c r="F68" i="4"/>
  <c r="F54" i="4"/>
  <c r="E26" i="7"/>
  <c r="F26" i="7" s="1"/>
  <c r="F37" i="4"/>
  <c r="F23" i="4"/>
  <c r="E49" i="7"/>
  <c r="F49" i="7" s="1"/>
  <c r="E52" i="7"/>
  <c r="F52" i="7" s="1"/>
  <c r="F45" i="4"/>
  <c r="F30" i="9"/>
  <c r="E72" i="7"/>
  <c r="E74" i="7"/>
  <c r="F74" i="7" s="1"/>
  <c r="E60" i="4"/>
  <c r="N60" i="4" s="1"/>
  <c r="E65" i="7"/>
  <c r="F65" i="7" s="1"/>
  <c r="N21" i="4"/>
  <c r="E21" i="7"/>
  <c r="F21" i="7" s="1"/>
  <c r="F56" i="4"/>
  <c r="F61" i="4"/>
  <c r="F55" i="4"/>
  <c r="F20" i="4"/>
  <c r="N66" i="4"/>
  <c r="N33" i="4"/>
  <c r="F59" i="4"/>
  <c r="E45" i="7"/>
  <c r="F45" i="7" s="1"/>
  <c r="N70" i="4"/>
  <c r="F66" i="4"/>
  <c r="N68" i="4"/>
  <c r="E30" i="4"/>
  <c r="N30" i="4" s="1"/>
  <c r="N52" i="4"/>
  <c r="N59" i="4"/>
  <c r="E67" i="4"/>
  <c r="N67" i="4" s="1"/>
  <c r="F33" i="4"/>
  <c r="N20" i="4"/>
  <c r="N56" i="4"/>
  <c r="N58" i="4"/>
  <c r="N25" i="4"/>
  <c r="E34" i="7"/>
  <c r="E68" i="7"/>
  <c r="F68" i="7" s="1"/>
  <c r="E19" i="4"/>
  <c r="F19" i="4" s="1"/>
  <c r="E22" i="4"/>
  <c r="N22" i="4" s="1"/>
  <c r="N23" i="4"/>
  <c r="E35" i="4"/>
  <c r="N35" i="4" s="1"/>
  <c r="N29" i="4"/>
  <c r="F43" i="4"/>
  <c r="F46" i="4"/>
  <c r="E57" i="7"/>
  <c r="F57" i="7" s="1"/>
  <c r="E63" i="2"/>
  <c r="E62" i="2" s="1"/>
  <c r="N54" i="4"/>
  <c r="F49" i="4"/>
  <c r="E59" i="7"/>
  <c r="F59" i="7" s="1"/>
  <c r="F26" i="4"/>
  <c r="N26" i="4"/>
  <c r="E27" i="7"/>
  <c r="F27" i="7" s="1"/>
  <c r="N64" i="4"/>
  <c r="F64" i="4"/>
  <c r="E77" i="7"/>
  <c r="F77" i="7" s="1"/>
  <c r="N36" i="4"/>
  <c r="F36" i="4"/>
  <c r="E60" i="7"/>
  <c r="F60" i="7" s="1"/>
  <c r="F29" i="4"/>
  <c r="E24" i="7"/>
  <c r="F24" i="7" s="1"/>
  <c r="F53" i="4"/>
  <c r="F63" i="4"/>
  <c r="E48" i="7"/>
  <c r="F48" i="7" s="1"/>
  <c r="E58" i="7"/>
  <c r="F58" i="7" s="1"/>
  <c r="F47" i="4"/>
  <c r="N34" i="4"/>
  <c r="F34" i="4"/>
  <c r="E38" i="7"/>
  <c r="F38" i="7" s="1"/>
  <c r="N24" i="4"/>
  <c r="F51" i="4"/>
  <c r="N51" i="4"/>
  <c r="F70" i="4"/>
  <c r="F28" i="4"/>
  <c r="F48" i="4"/>
  <c r="I58" i="8"/>
  <c r="C39" i="5" s="1"/>
  <c r="E53" i="2"/>
  <c r="E47" i="2" s="1"/>
  <c r="J9" i="8"/>
  <c r="I15" i="8"/>
  <c r="C36" i="5" s="1"/>
  <c r="E14" i="8"/>
  <c r="E12" i="9"/>
  <c r="C15" i="9"/>
  <c r="E15" i="9" s="1"/>
  <c r="F65" i="2"/>
  <c r="AA11" i="3"/>
  <c r="AA92" i="3"/>
  <c r="D16" i="4" s="1"/>
  <c r="D16" i="7" s="1"/>
  <c r="AA40" i="3"/>
  <c r="D13" i="4" s="1"/>
  <c r="D13" i="7" s="1"/>
  <c r="F156" i="3"/>
  <c r="F9" i="3" s="1"/>
  <c r="AA157" i="3"/>
  <c r="I23" i="6"/>
  <c r="I20" i="6"/>
  <c r="F13" i="7" l="1"/>
  <c r="F34" i="7"/>
  <c r="E33" i="7"/>
  <c r="F33" i="7" s="1"/>
  <c r="F22" i="7"/>
  <c r="F76" i="7"/>
  <c r="E75" i="7"/>
  <c r="F75" i="7" s="1"/>
  <c r="E40" i="7"/>
  <c r="F40" i="7" s="1"/>
  <c r="F72" i="7"/>
  <c r="E71" i="7"/>
  <c r="F71" i="7" s="1"/>
  <c r="E19" i="7"/>
  <c r="E22" i="7"/>
  <c r="F19" i="7"/>
  <c r="F30" i="4"/>
  <c r="F62" i="4"/>
  <c r="C42" i="5"/>
  <c r="F60" i="4"/>
  <c r="F35" i="4"/>
  <c r="E9" i="4"/>
  <c r="F67" i="4"/>
  <c r="E71" i="4"/>
  <c r="N71" i="4" s="1"/>
  <c r="F63" i="2"/>
  <c r="F22" i="4"/>
  <c r="I14" i="8"/>
  <c r="K11" i="8" s="1"/>
  <c r="F29" i="9"/>
  <c r="C10" i="9"/>
  <c r="F53" i="2"/>
  <c r="G12" i="9"/>
  <c r="E10" i="9"/>
  <c r="H15" i="9" s="1"/>
  <c r="F47" i="2"/>
  <c r="G15" i="9"/>
  <c r="F62" i="2"/>
  <c r="E58" i="2"/>
  <c r="F58" i="2" s="1"/>
  <c r="C31" i="5"/>
  <c r="F17" i="4"/>
  <c r="J15" i="4" s="1"/>
  <c r="C25" i="9"/>
  <c r="E25" i="9" s="1"/>
  <c r="F16" i="7"/>
  <c r="AA10" i="3"/>
  <c r="AA156" i="3"/>
  <c r="I16" i="6"/>
  <c r="E9" i="7" l="1"/>
  <c r="I36" i="6"/>
  <c r="F28" i="9"/>
  <c r="L20" i="9"/>
  <c r="E35" i="2"/>
  <c r="F35" i="2" s="1"/>
  <c r="H10" i="9"/>
  <c r="I11" i="9"/>
  <c r="H16" i="9"/>
  <c r="H13" i="9"/>
  <c r="H11" i="9"/>
  <c r="H14" i="9"/>
  <c r="H12" i="9"/>
  <c r="C30" i="5"/>
  <c r="F15" i="7"/>
  <c r="F16" i="4"/>
  <c r="J14" i="4" s="1"/>
  <c r="C24" i="9"/>
  <c r="E24" i="9" s="1"/>
  <c r="C20" i="9"/>
  <c r="E20" i="9" s="1"/>
  <c r="C27" i="5"/>
  <c r="F13" i="4"/>
  <c r="J11" i="4" s="1"/>
  <c r="AA9" i="3"/>
  <c r="AB156" i="3" s="1"/>
  <c r="G25" i="9"/>
  <c r="AD10" i="3"/>
  <c r="D12" i="4"/>
  <c r="I15" i="6"/>
  <c r="D12" i="7" l="1"/>
  <c r="E13" i="2"/>
  <c r="F14" i="9"/>
  <c r="F10" i="9" s="1"/>
  <c r="C14" i="5"/>
  <c r="C18" i="5" s="1"/>
  <c r="F13" i="2"/>
  <c r="T16" i="2" s="1"/>
  <c r="I37" i="6"/>
  <c r="J15" i="6" s="1"/>
  <c r="C19" i="9"/>
  <c r="F12" i="4"/>
  <c r="J10" i="4" s="1"/>
  <c r="C26" i="5"/>
  <c r="C34" i="5" s="1"/>
  <c r="D11" i="4"/>
  <c r="G20" i="9"/>
  <c r="G24" i="9"/>
  <c r="AB10" i="3"/>
  <c r="AB95" i="3"/>
  <c r="AB65" i="3"/>
  <c r="AB61" i="3"/>
  <c r="AB57" i="3"/>
  <c r="AB53" i="3"/>
  <c r="AB49" i="3"/>
  <c r="AB45" i="3"/>
  <c r="AB41" i="3"/>
  <c r="AB37" i="3"/>
  <c r="AB21" i="3"/>
  <c r="AB13" i="3"/>
  <c r="AB20" i="3"/>
  <c r="AB12" i="3"/>
  <c r="AB165" i="3"/>
  <c r="AB164" i="3"/>
  <c r="AB105" i="3"/>
  <c r="AB100" i="3"/>
  <c r="AB32" i="3"/>
  <c r="AB28" i="3"/>
  <c r="AB9" i="3"/>
  <c r="AB71" i="3"/>
  <c r="AB68" i="3"/>
  <c r="AB64" i="3"/>
  <c r="AB60" i="3"/>
  <c r="AB56" i="3"/>
  <c r="AB52" i="3"/>
  <c r="AB48" i="3"/>
  <c r="AB44" i="3"/>
  <c r="AB36" i="3"/>
  <c r="AB16" i="3"/>
  <c r="AB102" i="3"/>
  <c r="AB97" i="3"/>
  <c r="AB74" i="3"/>
  <c r="AB70" i="3"/>
  <c r="AB67" i="3"/>
  <c r="AB63" i="3"/>
  <c r="AB59" i="3"/>
  <c r="AB51" i="3"/>
  <c r="AB47" i="3"/>
  <c r="AB43" i="3"/>
  <c r="AB39" i="3"/>
  <c r="AB35" i="3"/>
  <c r="AB23" i="3"/>
  <c r="AB19" i="3"/>
  <c r="AB15" i="3"/>
  <c r="AB166" i="3"/>
  <c r="AB33" i="3"/>
  <c r="AB169" i="3"/>
  <c r="AB107" i="3"/>
  <c r="AB87" i="3"/>
  <c r="AB30" i="3"/>
  <c r="AB26" i="3"/>
  <c r="AB88" i="3"/>
  <c r="AB29" i="3"/>
  <c r="AB96" i="3"/>
  <c r="AB66" i="3"/>
  <c r="AB62" i="3"/>
  <c r="AB58" i="3"/>
  <c r="AB54" i="3"/>
  <c r="AB50" i="3"/>
  <c r="AB46" i="3"/>
  <c r="AB42" i="3"/>
  <c r="AB38" i="3"/>
  <c r="AB34" i="3"/>
  <c r="AB22" i="3"/>
  <c r="AB18" i="3"/>
  <c r="AB14" i="3"/>
  <c r="AB106" i="3"/>
  <c r="AB72" i="3"/>
  <c r="AB25" i="3"/>
  <c r="AB104" i="3"/>
  <c r="AB91" i="3"/>
  <c r="AB93" i="3"/>
  <c r="AB170" i="3"/>
  <c r="AB27" i="3"/>
  <c r="AB82" i="3"/>
  <c r="AB31" i="3"/>
  <c r="AB103" i="3"/>
  <c r="AB159" i="3"/>
  <c r="AB168" i="3"/>
  <c r="AB161" i="3"/>
  <c r="AB162" i="3"/>
  <c r="AB172" i="3"/>
  <c r="AB171" i="3"/>
  <c r="AB24" i="3"/>
  <c r="AB99" i="3"/>
  <c r="AB163" i="3"/>
  <c r="AB69" i="3"/>
  <c r="AB101" i="3"/>
  <c r="AB55" i="3"/>
  <c r="AB158" i="3"/>
  <c r="AB160" i="3"/>
  <c r="AB98" i="3"/>
  <c r="AB17" i="3"/>
  <c r="AB167" i="3"/>
  <c r="AB40" i="3"/>
  <c r="AB11" i="3"/>
  <c r="AB92" i="3"/>
  <c r="AB157" i="3"/>
  <c r="D11" i="7" l="1"/>
  <c r="D10" i="7" s="1"/>
  <c r="D9" i="7" s="1"/>
  <c r="F12" i="7"/>
  <c r="G14" i="9"/>
  <c r="I10" i="9"/>
  <c r="G10" i="9"/>
  <c r="D10" i="4"/>
  <c r="F11" i="4"/>
  <c r="F11" i="7"/>
  <c r="D37" i="5"/>
  <c r="C43" i="5"/>
  <c r="D35" i="5"/>
  <c r="E19" i="9"/>
  <c r="C17" i="9"/>
  <c r="K10" i="9" s="1"/>
  <c r="J32" i="6"/>
  <c r="J28" i="6"/>
  <c r="J33" i="6"/>
  <c r="J29" i="6"/>
  <c r="J21" i="6"/>
  <c r="J14" i="6"/>
  <c r="J36" i="6"/>
  <c r="J13" i="6"/>
  <c r="J35" i="6"/>
  <c r="J31" i="6"/>
  <c r="J27" i="6"/>
  <c r="J37" i="6"/>
  <c r="J30" i="6"/>
  <c r="J26" i="6"/>
  <c r="J12" i="6"/>
  <c r="J24" i="6"/>
  <c r="J18" i="6"/>
  <c r="J25" i="6"/>
  <c r="J22" i="6"/>
  <c r="J34" i="6"/>
  <c r="J17" i="6"/>
  <c r="J19" i="6"/>
  <c r="J20" i="6"/>
  <c r="J23" i="6"/>
  <c r="J16" i="6"/>
  <c r="I14" i="9" l="1"/>
  <c r="I13" i="9"/>
  <c r="I16" i="9"/>
  <c r="B34" i="9"/>
  <c r="I12" i="9"/>
  <c r="I15" i="9"/>
  <c r="L10" i="9"/>
  <c r="L14" i="9"/>
  <c r="L16" i="9" s="1"/>
  <c r="G19" i="9"/>
  <c r="E17" i="9"/>
  <c r="F10" i="4"/>
  <c r="H5" i="4"/>
  <c r="D71" i="4"/>
  <c r="F71" i="4" s="1"/>
  <c r="G71" i="4" s="1"/>
  <c r="D9" i="4"/>
  <c r="F9" i="4" s="1"/>
  <c r="G50" i="4" s="1"/>
  <c r="F10" i="7"/>
  <c r="F9" i="7"/>
  <c r="G51" i="7" l="1"/>
  <c r="G30" i="7"/>
  <c r="G42" i="7"/>
  <c r="G73" i="7"/>
  <c r="G54" i="7"/>
  <c r="G61" i="7"/>
  <c r="G64" i="7"/>
  <c r="G18" i="7"/>
  <c r="G70" i="7"/>
  <c r="G39" i="7"/>
  <c r="G56" i="7"/>
  <c r="G37" i="7"/>
  <c r="G46" i="7"/>
  <c r="G25" i="7"/>
  <c r="G31" i="7"/>
  <c r="G62" i="7"/>
  <c r="G13" i="7"/>
  <c r="G44" i="7"/>
  <c r="G36" i="7"/>
  <c r="G67" i="7"/>
  <c r="G50" i="7"/>
  <c r="G29" i="7"/>
  <c r="G53" i="7"/>
  <c r="G17" i="7"/>
  <c r="G78" i="7"/>
  <c r="G69" i="7"/>
  <c r="G14" i="7"/>
  <c r="G55" i="7"/>
  <c r="G32" i="7"/>
  <c r="G47" i="7"/>
  <c r="G43" i="7"/>
  <c r="G35" i="7"/>
  <c r="G63" i="7"/>
  <c r="G82" i="7"/>
  <c r="G66" i="7"/>
  <c r="G79" i="7"/>
  <c r="G83" i="7"/>
  <c r="G41" i="7"/>
  <c r="G77" i="7"/>
  <c r="G38" i="7"/>
  <c r="G68" i="7"/>
  <c r="G45" i="7"/>
  <c r="G48" i="7"/>
  <c r="G60" i="7"/>
  <c r="G27" i="7"/>
  <c r="G23" i="7"/>
  <c r="G57" i="7"/>
  <c r="G74" i="7"/>
  <c r="G59" i="7"/>
  <c r="G52" i="7"/>
  <c r="G26" i="7"/>
  <c r="G65" i="7"/>
  <c r="G21" i="7"/>
  <c r="G49" i="7"/>
  <c r="G58" i="7"/>
  <c r="G24" i="7"/>
  <c r="G81" i="7"/>
  <c r="G20" i="7"/>
  <c r="G76" i="7"/>
  <c r="G16" i="7"/>
  <c r="G34" i="7"/>
  <c r="G72" i="7"/>
  <c r="G15" i="7"/>
  <c r="G12" i="7"/>
  <c r="G11" i="7"/>
  <c r="G11" i="4"/>
  <c r="G27" i="4"/>
  <c r="G10" i="4"/>
  <c r="G10" i="7"/>
  <c r="H21" i="9"/>
  <c r="G17" i="9"/>
  <c r="H17" i="9"/>
  <c r="H22" i="9"/>
  <c r="H26" i="9"/>
  <c r="H23" i="9"/>
  <c r="H25" i="9"/>
  <c r="H20" i="9"/>
  <c r="H24" i="9"/>
  <c r="G57" i="4"/>
  <c r="G55" i="4"/>
  <c r="G53" i="4"/>
  <c r="G49" i="4"/>
  <c r="G45" i="4"/>
  <c r="G35" i="4"/>
  <c r="G70" i="4"/>
  <c r="G68" i="4"/>
  <c r="G64" i="4"/>
  <c r="G62" i="4"/>
  <c r="G44" i="4"/>
  <c r="G38" i="4"/>
  <c r="G34" i="4"/>
  <c r="G33" i="4"/>
  <c r="G31" i="4"/>
  <c r="G14" i="4"/>
  <c r="G66" i="4"/>
  <c r="G60" i="4"/>
  <c r="G46" i="4"/>
  <c r="G42" i="4"/>
  <c r="G29" i="4"/>
  <c r="G26" i="4"/>
  <c r="G23" i="4"/>
  <c r="G19" i="4"/>
  <c r="G56" i="4"/>
  <c r="G54" i="4"/>
  <c r="G52" i="4"/>
  <c r="G51" i="4"/>
  <c r="G48" i="4"/>
  <c r="G37" i="4"/>
  <c r="G36" i="4"/>
  <c r="G9" i="4"/>
  <c r="G69" i="4"/>
  <c r="G67" i="4"/>
  <c r="G65" i="4"/>
  <c r="G63" i="4"/>
  <c r="G41" i="4"/>
  <c r="G32" i="4"/>
  <c r="G30" i="4"/>
  <c r="G61" i="4"/>
  <c r="G39" i="4"/>
  <c r="G28" i="4"/>
  <c r="G25" i="4"/>
  <c r="G24" i="4"/>
  <c r="G22" i="4"/>
  <c r="G18" i="4"/>
  <c r="G15" i="4"/>
  <c r="G59" i="4"/>
  <c r="G47" i="4"/>
  <c r="G43" i="4"/>
  <c r="G20" i="4"/>
  <c r="G21" i="4"/>
  <c r="G40" i="4"/>
  <c r="H9" i="4"/>
  <c r="G58" i="4"/>
  <c r="G17" i="4"/>
  <c r="G16" i="4"/>
  <c r="G13" i="4"/>
  <c r="G12" i="4"/>
  <c r="H19" i="9"/>
  <c r="G9" i="7"/>
  <c r="I21" i="9" l="1"/>
  <c r="I22" i="9"/>
  <c r="I17" i="9"/>
  <c r="D34" i="9"/>
  <c r="I23" i="9"/>
  <c r="I26" i="9"/>
  <c r="M22" i="9"/>
  <c r="F34" i="9"/>
  <c r="I25" i="9"/>
  <c r="I20" i="9"/>
  <c r="I24" i="9"/>
  <c r="I19" i="9"/>
  <c r="K34" i="9" l="1"/>
  <c r="B68" i="9"/>
  <c r="G68" i="9" s="1"/>
  <c r="N50" i="9"/>
</calcChain>
</file>

<file path=xl/comments1.xml><?xml version="1.0" encoding="utf-8"?>
<comments xmlns="http://schemas.openxmlformats.org/spreadsheetml/2006/main">
  <authors>
    <author>CMSM / UGA - Anila Maria Correia Rodrigues</author>
  </authors>
  <commentList>
    <comment ref="D60" authorId="0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FFM</t>
        </r>
      </text>
    </comment>
    <comment ref="D61" authorId="0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DESCRIMINAÇÃO POSITIVA + trans MAA</t>
        </r>
      </text>
    </comment>
  </commentList>
</comments>
</file>

<file path=xl/comments2.xml><?xml version="1.0" encoding="utf-8"?>
<comments xmlns="http://schemas.openxmlformats.org/spreadsheetml/2006/main">
  <authors>
    <author>UtilizadorMD</author>
    <author>CMSM / UGA - Anila Maria Correia Rodrigues</author>
    <author>MAHOT - DGDAL - Karine Barbosa de Aguiar Sousa Brito</author>
  </authors>
  <commentList>
    <comment ref="O13" authorId="0" shapeId="0">
      <text>
        <r>
          <rPr>
            <b/>
            <sz val="9"/>
            <rFont val="Tahoma"/>
            <family val="2"/>
          </rPr>
          <t>UtilizadorMD:</t>
        </r>
        <r>
          <rPr>
            <sz val="9"/>
            <rFont val="Tahoma"/>
            <family val="2"/>
          </rPr>
          <t xml:space="preserve">
Salario vereadora Cesaltina</t>
        </r>
      </text>
    </comment>
    <comment ref="O14" authorId="0" shapeId="0">
      <text>
        <r>
          <rPr>
            <b/>
            <sz val="9"/>
            <rFont val="Tahoma"/>
            <family val="2"/>
          </rPr>
          <t>UtilizadorMD:</t>
        </r>
        <r>
          <rPr>
            <sz val="9"/>
            <rFont val="Tahoma"/>
            <family val="2"/>
          </rPr>
          <t xml:space="preserve">
Salario vereadora Cesaltina</t>
        </r>
      </text>
    </comment>
    <comment ref="O15" authorId="0" shapeId="0">
      <text>
        <r>
          <rPr>
            <b/>
            <sz val="9"/>
            <rFont val="Tahoma"/>
            <family val="2"/>
          </rPr>
          <t>UtilizadorMD:</t>
        </r>
        <r>
          <rPr>
            <sz val="9"/>
            <rFont val="Tahoma"/>
            <family val="2"/>
          </rPr>
          <t xml:space="preserve">
Salario vereadora Cesaltina</t>
        </r>
      </text>
    </comment>
    <comment ref="E103" authorId="1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previsão para pagamento de dividas anos anteriores</t>
        </r>
      </text>
    </comment>
    <comment ref="AA159" authorId="2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Alocado a 1 projecto de investimento</t>
        </r>
      </text>
    </comment>
  </commentList>
</comments>
</file>

<file path=xl/comments3.xml><?xml version="1.0" encoding="utf-8"?>
<comments xmlns="http://schemas.openxmlformats.org/spreadsheetml/2006/main">
  <authors>
    <author>MAHOT - DGDAL - Karine Barbosa de Aguiar Sousa Brito</author>
    <author>CMSM / UGA - Anila Maria Correia Rodrigues</author>
  </authors>
  <commentList>
    <comment ref="D57" authorId="0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Oculos; cestas básicas,urnas</t>
        </r>
      </text>
    </comment>
    <comment ref="D88" authorId="1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financiado pelo governo 42,000,000$</t>
        </r>
      </text>
    </comment>
    <comment ref="D94" authorId="0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Fundo MAA</t>
        </r>
      </text>
    </comment>
    <comment ref="D113" authorId="1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financiamento governo em vez de emprestimo</t>
        </r>
      </text>
    </comment>
  </commentList>
</comments>
</file>

<file path=xl/comments4.xml><?xml version="1.0" encoding="utf-8"?>
<comments xmlns="http://schemas.openxmlformats.org/spreadsheetml/2006/main">
  <authors>
    <author>UtilizadorMD</author>
  </authors>
  <commentList>
    <comment ref="G53" authorId="0" shapeId="0">
      <text>
        <r>
          <rPr>
            <b/>
            <sz val="9"/>
            <rFont val="Tahoma"/>
            <family val="2"/>
          </rPr>
          <t>UtilizadorMD:</t>
        </r>
        <r>
          <rPr>
            <sz val="9"/>
            <rFont val="Tahoma"/>
            <family val="2"/>
          </rPr>
          <t xml:space="preserve">
De acordo com o plano financeiro 2021</t>
        </r>
      </text>
    </comment>
    <comment ref="N53" authorId="0" shapeId="0">
      <text>
        <r>
          <rPr>
            <b/>
            <sz val="9"/>
            <rFont val="Tahoma"/>
            <family val="2"/>
          </rPr>
          <t>UtilizadorMD:</t>
        </r>
        <r>
          <rPr>
            <sz val="9"/>
            <rFont val="Tahoma"/>
            <family val="2"/>
          </rPr>
          <t xml:space="preserve">
De acordo com o plano financeiro 2021</t>
        </r>
      </text>
    </comment>
  </commentList>
</comments>
</file>

<file path=xl/comments5.xml><?xml version="1.0" encoding="utf-8"?>
<comments xmlns="http://schemas.openxmlformats.org/spreadsheetml/2006/main">
  <authors>
    <author>MAHOT - DGDAL - Karine Barbosa de Aguiar Sousa Brito</author>
    <author>CMSM / UGA - Anila Maria Correia Rodrigues</author>
    <author>Larice Freire</author>
  </authors>
  <commentList>
    <comment ref="D14" authorId="0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Inclui Construção do Centro Desportivo e Cultural Mato Correia</t>
        </r>
      </text>
    </comment>
    <comment ref="D19" authorId="0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Oculos; cestas básicas,urnas</t>
        </r>
      </text>
    </comment>
    <comment ref="D34" authorId="1" shapeId="0">
      <text>
        <r>
          <rPr>
            <b/>
            <sz val="9"/>
            <rFont val="Tahoma"/>
            <family val="2"/>
          </rPr>
          <t>CMSM / UGA - Anila Maria Correia Rodrigues:</t>
        </r>
        <r>
          <rPr>
            <sz val="9"/>
            <rFont val="Tahoma"/>
            <family val="2"/>
          </rPr>
          <t xml:space="preserve">
financiado pelo governo 42,000,000$</t>
        </r>
      </text>
    </comment>
    <comment ref="D40" authorId="0" shapeId="0">
      <text>
        <r>
          <rPr>
            <b/>
            <sz val="9"/>
            <rFont val="Tahoma"/>
            <family val="2"/>
          </rPr>
          <t>MAHOT - DGDAL - Karine Barbosa de Aguiar Sousa Brito:</t>
        </r>
        <r>
          <rPr>
            <sz val="9"/>
            <rFont val="Tahoma"/>
            <family val="2"/>
          </rPr>
          <t xml:space="preserve">
Fundo MAA</t>
        </r>
      </text>
    </comment>
    <comment ref="D44" authorId="2" shapeId="0">
      <text>
        <r>
          <rPr>
            <b/>
            <sz val="9"/>
            <rFont val="Tahoma"/>
            <family val="2"/>
          </rPr>
          <t>Larice Freire:</t>
        </r>
        <r>
          <rPr>
            <sz val="9"/>
            <rFont val="Tahoma"/>
            <family val="2"/>
          </rPr>
          <t xml:space="preserve">
palha carga,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<sst xmlns="http://schemas.openxmlformats.org/spreadsheetml/2006/main" count="3172" uniqueCount="1155">
  <si>
    <t>MUNICIPIO DE SÃO MIGUEL</t>
  </si>
  <si>
    <t>Câmara Municipal</t>
  </si>
  <si>
    <t>MAPA I - Receitas e Ativos não financeiros  do Municipio, especificado segundo uma classificação económica e orgânica</t>
  </si>
  <si>
    <t>Código</t>
  </si>
  <si>
    <t>Designação</t>
  </si>
  <si>
    <t>Administração Directa</t>
  </si>
  <si>
    <t>Investimentos</t>
  </si>
  <si>
    <t>Total Geral</t>
  </si>
  <si>
    <t>01.</t>
  </si>
  <si>
    <t>ADA</t>
  </si>
  <si>
    <t>SEPAMP</t>
  </si>
  <si>
    <t>01.01</t>
  </si>
  <si>
    <t>IMPOSTOS</t>
  </si>
  <si>
    <t>Impostos</t>
  </si>
  <si>
    <t>35.01.01</t>
  </si>
  <si>
    <t>34.01.01</t>
  </si>
  <si>
    <t>01.01.03</t>
  </si>
  <si>
    <t>Imposto  sobre Património</t>
  </si>
  <si>
    <t>em 2010 ñ foi orçado</t>
  </si>
  <si>
    <t>35.01.01.03</t>
  </si>
  <si>
    <t>34.01.01.03</t>
  </si>
  <si>
    <t>01.01.03.01</t>
  </si>
  <si>
    <t>35.01.01.03.01</t>
  </si>
  <si>
    <t>34.01.01.03.01</t>
  </si>
  <si>
    <t>01.01.03.01.01</t>
  </si>
  <si>
    <t>35.01.01.03.01.01</t>
  </si>
  <si>
    <t>34.01.01.03.01.01</t>
  </si>
  <si>
    <t>01.01.03.01.02</t>
  </si>
  <si>
    <t>35.01.01.03.01.02</t>
  </si>
  <si>
    <t>34.01.01.03.01.02</t>
  </si>
  <si>
    <t>01.01.04</t>
  </si>
  <si>
    <t>Impostos Sobre Bens e Servisos</t>
  </si>
  <si>
    <t>35.01.01.04</t>
  </si>
  <si>
    <t>34.01.01.04</t>
  </si>
  <si>
    <t>01.01.04.01</t>
  </si>
  <si>
    <t>35.01.01.04.01</t>
  </si>
  <si>
    <t>34.01.01.04.01</t>
  </si>
  <si>
    <t>01.01.04.01.02</t>
  </si>
  <si>
    <t>35.01.01.04.01.02</t>
  </si>
  <si>
    <t>34.01.01.04.01.02</t>
  </si>
  <si>
    <t>01.01.04.01.02.01</t>
  </si>
  <si>
    <t>35.01.01.04.01.02.01</t>
  </si>
  <si>
    <t>34.01.01.04.01.02.01</t>
  </si>
  <si>
    <t>01.01.04.02</t>
  </si>
  <si>
    <t>35.01.01.04.02</t>
  </si>
  <si>
    <t>34.01.01.04.02</t>
  </si>
  <si>
    <t>01.01.04.02.01</t>
  </si>
  <si>
    <t>35.01.01.04.02.01</t>
  </si>
  <si>
    <t>34.01.01.04.02.01</t>
  </si>
  <si>
    <t>01.01.04.03</t>
  </si>
  <si>
    <t>35.01.01.04.03</t>
  </si>
  <si>
    <t>34.01.01.04.03</t>
  </si>
  <si>
    <t>01.01.04.04</t>
  </si>
  <si>
    <t>35.01.01.04.04</t>
  </si>
  <si>
    <t>34.01.01.04.04</t>
  </si>
  <si>
    <t>01.01.04.04.01</t>
  </si>
  <si>
    <t>35.01.01.04.04.01</t>
  </si>
  <si>
    <t>34.01.01.04.04.01</t>
  </si>
  <si>
    <t>01.01.04.04.09</t>
  </si>
  <si>
    <t>35.01.01.04.04.09</t>
  </si>
  <si>
    <t>34.01.01.04.04.09</t>
  </si>
  <si>
    <t>01.01.04.05</t>
  </si>
  <si>
    <t>35.01.01.04.05</t>
  </si>
  <si>
    <t>34.01.01.04.05</t>
  </si>
  <si>
    <t>01.01.04.05.01</t>
  </si>
  <si>
    <t>35.01.01.04.05.01</t>
  </si>
  <si>
    <t>34.01.01.04.05.01</t>
  </si>
  <si>
    <t>01.01.04.06</t>
  </si>
  <si>
    <t>35.01.01.04.06</t>
  </si>
  <si>
    <t>34.01.01.04.06</t>
  </si>
  <si>
    <t>01.01.06.01</t>
  </si>
  <si>
    <t>Imposto Selo</t>
  </si>
  <si>
    <t>01.01.06.01.01</t>
  </si>
  <si>
    <t>Outros (Selo)</t>
  </si>
  <si>
    <t>01.03</t>
  </si>
  <si>
    <t>Tranferencias</t>
  </si>
  <si>
    <t>35.01.03</t>
  </si>
  <si>
    <t>34.01.03</t>
  </si>
  <si>
    <t>01.03.01</t>
  </si>
  <si>
    <t>Do Governos Estrangeiros</t>
  </si>
  <si>
    <t>35.01.03.01</t>
  </si>
  <si>
    <t>34.01.03.01</t>
  </si>
  <si>
    <t>01.03.01.01</t>
  </si>
  <si>
    <t>35.01.03.01.01</t>
  </si>
  <si>
    <t>34.01.03.01.01</t>
  </si>
  <si>
    <t>01.03.01.01.01</t>
  </si>
  <si>
    <t>35.01.03.01.01.01</t>
  </si>
  <si>
    <t>34.01.03.01.01.01</t>
  </si>
  <si>
    <t>01.03.01.01.02</t>
  </si>
  <si>
    <t>35.01.03.01.01.02</t>
  </si>
  <si>
    <t>34.01.03.01.01.02</t>
  </si>
  <si>
    <t>01.03.01.01.03</t>
  </si>
  <si>
    <t>35.01.03.01.01.03</t>
  </si>
  <si>
    <t>34.01.03.01.01.03</t>
  </si>
  <si>
    <t>01.03.01.01.09</t>
  </si>
  <si>
    <t>35.01.03.01.01.09</t>
  </si>
  <si>
    <t>34.01.03.01.01.09</t>
  </si>
  <si>
    <t>01.03.01.02</t>
  </si>
  <si>
    <t>35.01.03.01.02</t>
  </si>
  <si>
    <t>34.01.03.01.02</t>
  </si>
  <si>
    <t>01.03.01.02.01</t>
  </si>
  <si>
    <t>35.01.03.01.02.01</t>
  </si>
  <si>
    <t>34.01.03.01.02.01</t>
  </si>
  <si>
    <t>01.03.01.02.02</t>
  </si>
  <si>
    <t>35.01.03.01.02.02</t>
  </si>
  <si>
    <t>34.01.03.01.02.02</t>
  </si>
  <si>
    <t>01.03.01.02.03</t>
  </si>
  <si>
    <t>35.01.03.01.02.03</t>
  </si>
  <si>
    <t>34.01.03.01.02.03</t>
  </si>
  <si>
    <t>01.03.01.02.09</t>
  </si>
  <si>
    <t>35.01.03.01.02.09</t>
  </si>
  <si>
    <t>34.01.03.01.02.09</t>
  </si>
  <si>
    <t>01.03.02</t>
  </si>
  <si>
    <t>De Organizações Internacionais</t>
  </si>
  <si>
    <t>35.01.03.02</t>
  </si>
  <si>
    <t>34.01.03.02</t>
  </si>
  <si>
    <t>01.03.02.01</t>
  </si>
  <si>
    <t>35.01.03.02.01</t>
  </si>
  <si>
    <t>34.01.03.02.01</t>
  </si>
  <si>
    <t>01.03.02.01.01</t>
  </si>
  <si>
    <t>35.01.03.02.01.01</t>
  </si>
  <si>
    <t>34.01.03.02.01.01</t>
  </si>
  <si>
    <t>01.03.02.01.02</t>
  </si>
  <si>
    <t>35.01.03.02.01.02</t>
  </si>
  <si>
    <t>34.01.03.02.01.02</t>
  </si>
  <si>
    <t>01.03.02.01.03</t>
  </si>
  <si>
    <t>35.01.03.02.01.03</t>
  </si>
  <si>
    <t>34.01.03.02.01.03</t>
  </si>
  <si>
    <t>01.03.02.01.09</t>
  </si>
  <si>
    <t>35.01.03.02.01.09</t>
  </si>
  <si>
    <t>34.01.03.02.01.09</t>
  </si>
  <si>
    <t>01.03.02.02</t>
  </si>
  <si>
    <t>35.01.03.02.02</t>
  </si>
  <si>
    <t>34.01.03.02.02</t>
  </si>
  <si>
    <t>01.03.02.02.01</t>
  </si>
  <si>
    <t>35.01.03.02.02.01</t>
  </si>
  <si>
    <t>34.01.03.02.02.01</t>
  </si>
  <si>
    <t>01.03.02.02.02</t>
  </si>
  <si>
    <t>35.01.03.02.02.02</t>
  </si>
  <si>
    <t>34.01.03.02.02.02</t>
  </si>
  <si>
    <t>01.03.02.02.03</t>
  </si>
  <si>
    <t>35.01.03.02.02.03</t>
  </si>
  <si>
    <t>34.01.03.02.02.03</t>
  </si>
  <si>
    <t>01.03.02.02.09</t>
  </si>
  <si>
    <t>35.01.03.02.02.09</t>
  </si>
  <si>
    <t>34.01.03.02.02.09</t>
  </si>
  <si>
    <t>01.03.03</t>
  </si>
  <si>
    <t>Das Administrações Públicas</t>
  </si>
  <si>
    <t>35.01.03.03</t>
  </si>
  <si>
    <t>34.01.03.03</t>
  </si>
  <si>
    <t>01.03.03.01</t>
  </si>
  <si>
    <t>35.01.03.03.01</t>
  </si>
  <si>
    <t>34.01.03.03.01</t>
  </si>
  <si>
    <t>01.03.03.01.01</t>
  </si>
  <si>
    <t>35.01.03.03.01.01</t>
  </si>
  <si>
    <t>34.01.03.03.01.01</t>
  </si>
  <si>
    <t>01.03.03.01.02</t>
  </si>
  <si>
    <t>35.01.03.03.01.02</t>
  </si>
  <si>
    <t>34.01.03.03.01.02</t>
  </si>
  <si>
    <t>01.03.03.02</t>
  </si>
  <si>
    <t>35.01.03.03.02</t>
  </si>
  <si>
    <t>34.01.03.03.02</t>
  </si>
  <si>
    <t>01.03.03.02.01</t>
  </si>
  <si>
    <t>35.01.03.03.02.01</t>
  </si>
  <si>
    <t>34.01.03.03.02.01</t>
  </si>
  <si>
    <t>01.03.03.02.02</t>
  </si>
  <si>
    <t>35.01.03.03.02.02</t>
  </si>
  <si>
    <t>34.01.03.03.02.02</t>
  </si>
  <si>
    <t>01.04</t>
  </si>
  <si>
    <t>Outras Receitas</t>
  </si>
  <si>
    <t>35.01.04</t>
  </si>
  <si>
    <t>34.01.04</t>
  </si>
  <si>
    <t>01.04.01</t>
  </si>
  <si>
    <t>Rendimentos de Propriedade</t>
  </si>
  <si>
    <t>35.01.04.01</t>
  </si>
  <si>
    <t>34.01.04.01</t>
  </si>
  <si>
    <t>01.04.01.01</t>
  </si>
  <si>
    <t>35.01.04.01.01</t>
  </si>
  <si>
    <t>34.01.04.01.01</t>
  </si>
  <si>
    <t>01.04.01.02</t>
  </si>
  <si>
    <t>35.01.04.01.02</t>
  </si>
  <si>
    <t>34.01.04.01.02</t>
  </si>
  <si>
    <t>01.04.01.03</t>
  </si>
  <si>
    <t>35.01.04.01.03</t>
  </si>
  <si>
    <t>34.01.04.01.03</t>
  </si>
  <si>
    <t>01.04.01.04</t>
  </si>
  <si>
    <t>35.01.04.01.04</t>
  </si>
  <si>
    <t>34.01.04.01.04</t>
  </si>
  <si>
    <t xml:space="preserve">01.04.01.05 </t>
  </si>
  <si>
    <t xml:space="preserve">35.01.04.01.05 </t>
  </si>
  <si>
    <t xml:space="preserve">34.01.04.01.05 </t>
  </si>
  <si>
    <t>01.04.01.05 .01</t>
  </si>
  <si>
    <t>35.01.04.01.05 .01</t>
  </si>
  <si>
    <t>34.01.04.01.05 .01</t>
  </si>
  <si>
    <t>01.04.01.05 .02</t>
  </si>
  <si>
    <t>35.01.04.01.05 .02</t>
  </si>
  <si>
    <t>34.01.04.01.05 .02</t>
  </si>
  <si>
    <t>01.04.01.05 .03</t>
  </si>
  <si>
    <t>35.01.04.01.05 .03</t>
  </si>
  <si>
    <t>34.01.04.01.05 .03</t>
  </si>
  <si>
    <t>01.04.01.05 .04</t>
  </si>
  <si>
    <t>35.01.04.01.05 .04</t>
  </si>
  <si>
    <t>34.01.04.01.05 .04</t>
  </si>
  <si>
    <t>01.04.01.05 .05</t>
  </si>
  <si>
    <t>35.01.04.01.05 .05</t>
  </si>
  <si>
    <t>34.01.04.01.05 .05</t>
  </si>
  <si>
    <t>01.04.01.05 .06</t>
  </si>
  <si>
    <t>35.01.04.01.05 .06</t>
  </si>
  <si>
    <t>34.01.04.01.05 .06</t>
  </si>
  <si>
    <t>01.04.01.05 .07</t>
  </si>
  <si>
    <t>35.01.04.01.05 .07</t>
  </si>
  <si>
    <t>34.01.04.01.05 .07</t>
  </si>
  <si>
    <t>01.04.01.05 .09</t>
  </si>
  <si>
    <t>35.01.04.01.05 .09</t>
  </si>
  <si>
    <t>34.01.04.01.05 .09</t>
  </si>
  <si>
    <t>01.04.02</t>
  </si>
  <si>
    <t>Vendas De Bens e Serviços</t>
  </si>
  <si>
    <t>35.01.04.02</t>
  </si>
  <si>
    <t>34.01.04.02</t>
  </si>
  <si>
    <t>01.04.02.01</t>
  </si>
  <si>
    <t>35.01.04.02.01</t>
  </si>
  <si>
    <t>34.01.04.02.01</t>
  </si>
  <si>
    <t>01.04.02.01.03</t>
  </si>
  <si>
    <t>35.01.04.02.01.03</t>
  </si>
  <si>
    <t>34.01.04.02.01.03</t>
  </si>
  <si>
    <t>01.04.02.02</t>
  </si>
  <si>
    <t>35.01.04.02.02</t>
  </si>
  <si>
    <t>34.01.04.02.02</t>
  </si>
  <si>
    <t>01.04.02.02.01</t>
  </si>
  <si>
    <t>35.01.04.02.02.01</t>
  </si>
  <si>
    <t>34.01.04.02.02.01</t>
  </si>
  <si>
    <t>01.04.02.02.01.00.02</t>
  </si>
  <si>
    <t>35.01.04.02.02.01.00.02</t>
  </si>
  <si>
    <t>34.01.04.02.02.01.00.02</t>
  </si>
  <si>
    <t>01.04.02.02.01.00.07</t>
  </si>
  <si>
    <t>35.01.04.02.02.01.00.07</t>
  </si>
  <si>
    <t>34.01.04.02.02.01.00.07</t>
  </si>
  <si>
    <t>01.04.02.02.01.00.08</t>
  </si>
  <si>
    <t>35.01.04.02.02.01.00.08</t>
  </si>
  <si>
    <t>34.01.04.02.02.01.00.08</t>
  </si>
  <si>
    <t>01.04.02.02.01.00.09</t>
  </si>
  <si>
    <t>35.01.04.02.02.01.00.09</t>
  </si>
  <si>
    <t>34.01.04.02.02.01.00.09</t>
  </si>
  <si>
    <t>01.04.02.02.01.01.00</t>
  </si>
  <si>
    <t>35.01.04.02.02.01.01.00</t>
  </si>
  <si>
    <t>34.01.04.02.02.01.01.00</t>
  </si>
  <si>
    <t>01.04.02.02.01.01.01</t>
  </si>
  <si>
    <t>35.01.04.02.02.01.01.01</t>
  </si>
  <si>
    <t>34.01.04.02.02.01.01.01</t>
  </si>
  <si>
    <t>01.04.02.02.01.01.02</t>
  </si>
  <si>
    <t>35.01.04.02.02.01.01.02</t>
  </si>
  <si>
    <t>34.01.04.02.02.01.01.02</t>
  </si>
  <si>
    <t>01.04.02.02.01.01.03</t>
  </si>
  <si>
    <t>35.01.04.02.02.01.01.03</t>
  </si>
  <si>
    <t>34.01.04.02.02.01.01.03</t>
  </si>
  <si>
    <t>01.04.02.02.01.01.04</t>
  </si>
  <si>
    <t>35.01.04.02.02.01.01.04</t>
  </si>
  <si>
    <t>34.01.04.02.02.01.01.04</t>
  </si>
  <si>
    <t>01.04.02.02.01.01.05</t>
  </si>
  <si>
    <t>Taxa de estacionamento de veiculos em parques ou outros locais a esse fim destinado</t>
  </si>
  <si>
    <t>01.04.02.02.01.01.07</t>
  </si>
  <si>
    <t>35.01.04.02.02.01.01.07</t>
  </si>
  <si>
    <t>34.01.04.02.02.01.01.07</t>
  </si>
  <si>
    <t>01.04.02.02.01.01.08</t>
  </si>
  <si>
    <t>35.01.04.02.02.01.01.08</t>
  </si>
  <si>
    <t>34.01.04.02.02.01.01.08</t>
  </si>
  <si>
    <t>01.04.02.02.01.01.09</t>
  </si>
  <si>
    <t>35.01.04.02.02.01.01.09</t>
  </si>
  <si>
    <t>34.01.04.02.02.01.01.09</t>
  </si>
  <si>
    <t>01.04.02.02.01.02.00</t>
  </si>
  <si>
    <t>35.01.04.02.02.01.02.00</t>
  </si>
  <si>
    <t>34.01.04.02.02.01.02.00</t>
  </si>
  <si>
    <t>01.04.02.02.01.02.01</t>
  </si>
  <si>
    <t>35.01.04.02.02.01.02.01</t>
  </si>
  <si>
    <t>34.01.04.02.02.01.02.01</t>
  </si>
  <si>
    <t>01.04.02.02.01.02.02</t>
  </si>
  <si>
    <t>35.01.04.02.02.01.02.02</t>
  </si>
  <si>
    <t>34.01.04.02.02.01.02.02</t>
  </si>
  <si>
    <t>01.04.02.02.01.02.03</t>
  </si>
  <si>
    <t>35.01.04.02.02.01.02.03</t>
  </si>
  <si>
    <t>34.01.04.02.02.01.02.03</t>
  </si>
  <si>
    <t>01.04.02.02.01.02.04</t>
  </si>
  <si>
    <t>35.01.04.02.02.01.02.04</t>
  </si>
  <si>
    <t>34.01.04.02.02.01.02.04</t>
  </si>
  <si>
    <t>01.04.02.02.01.02.05</t>
  </si>
  <si>
    <t>35.01.04.02.02.01.02.05</t>
  </si>
  <si>
    <t>34.01.04.02.02.01.02.05</t>
  </si>
  <si>
    <t>01.04.02.02.01.02.06</t>
  </si>
  <si>
    <t>35.01.04.02.02.01.02.06</t>
  </si>
  <si>
    <t>34.01.04.02.02.01.02.06</t>
  </si>
  <si>
    <t>01.04.02.02.01.02.07</t>
  </si>
  <si>
    <t>35.01.04.02.02.01.02.07</t>
  </si>
  <si>
    <t>34.01.04.02.02.01.02.07</t>
  </si>
  <si>
    <t>01.04.02.02.01.02.08</t>
  </si>
  <si>
    <t>35.01.04.02.02.01.02.08</t>
  </si>
  <si>
    <t>34.01.04.02.02.01.02.08</t>
  </si>
  <si>
    <t>01.04.02.02.01.02.09</t>
  </si>
  <si>
    <t>35.01.04.02.02.01.02.09</t>
  </si>
  <si>
    <t>34.01.04.02.02.01.02.09</t>
  </si>
  <si>
    <t>01.04.02.02.01.03.00</t>
  </si>
  <si>
    <t>35.01.04.02.02.01.03.00</t>
  </si>
  <si>
    <t>34.01.04.02.02.01.03.00</t>
  </si>
  <si>
    <t>01.04.02.02.01.03.01</t>
  </si>
  <si>
    <t>35.01.04.02.02.01.03.01</t>
  </si>
  <si>
    <t>34.01.04.02.02.01.03.01</t>
  </si>
  <si>
    <t>01.04.02.02.01.03.02</t>
  </si>
  <si>
    <t>35.01.04.02.02.01.03.02</t>
  </si>
  <si>
    <t>34.01.04.02.02.01.03.02</t>
  </si>
  <si>
    <t>01.04.02.02.01.03.03</t>
  </si>
  <si>
    <t>35.01.04.02.02.01.03.03</t>
  </si>
  <si>
    <t>34.01.04.02.02.01.03.03</t>
  </si>
  <si>
    <t>01.04.02.02.01.03.04</t>
  </si>
  <si>
    <t>35.01.04.02.02.01.03.04</t>
  </si>
  <si>
    <t>34.01.04.02.02.01.03.04</t>
  </si>
  <si>
    <t>01.04.02.02.01.09.09</t>
  </si>
  <si>
    <t>Outras Taxas</t>
  </si>
  <si>
    <t>35.01.04.02.02.01.03.09</t>
  </si>
  <si>
    <t>34.01.04.02.02.01.03.09</t>
  </si>
  <si>
    <t>01.04.02.02.02</t>
  </si>
  <si>
    <t>35.01.04.02.02.02</t>
  </si>
  <si>
    <t>34.01.04.02.02.02</t>
  </si>
  <si>
    <t>01.04.02.02.02.02</t>
  </si>
  <si>
    <t>35.01.04.02.02.02.02</t>
  </si>
  <si>
    <t>34.01.04.02.02.02.02</t>
  </si>
  <si>
    <t>01.04.02.03</t>
  </si>
  <si>
    <t>Taxas de outros serviços</t>
  </si>
  <si>
    <t>01.04.02.03.09</t>
  </si>
  <si>
    <t>Outros</t>
  </si>
  <si>
    <t>01.04.02.04</t>
  </si>
  <si>
    <t>35.01.04.02.04</t>
  </si>
  <si>
    <t>34.01.04.02.04</t>
  </si>
  <si>
    <t>01.04.02.04.09</t>
  </si>
  <si>
    <t>35.01.04.02.04.09</t>
  </si>
  <si>
    <t>34.01.04.02.04.09</t>
  </si>
  <si>
    <t>01.04.03</t>
  </si>
  <si>
    <t>Multas e outras Penalidades</t>
  </si>
  <si>
    <t>35.01.04.03</t>
  </si>
  <si>
    <t>34.01.04.03</t>
  </si>
  <si>
    <t>01.04.03.04</t>
  </si>
  <si>
    <t>35.01.04.03.04</t>
  </si>
  <si>
    <t>34.01.04.03.04</t>
  </si>
  <si>
    <t>01.04.03.05</t>
  </si>
  <si>
    <t>35.01.04.03.05</t>
  </si>
  <si>
    <t>34.01.04.03.05</t>
  </si>
  <si>
    <t>01.04.03.06</t>
  </si>
  <si>
    <t>35.01.04.03.06</t>
  </si>
  <si>
    <t>34.01.04.03.06</t>
  </si>
  <si>
    <t>01.04.03.07</t>
  </si>
  <si>
    <t>35.01.04.03.07</t>
  </si>
  <si>
    <t>34.01.04.03.07</t>
  </si>
  <si>
    <t>01.04.04</t>
  </si>
  <si>
    <t>Outras transferências</t>
  </si>
  <si>
    <t>35.01.04.04</t>
  </si>
  <si>
    <t>34.01.04.04</t>
  </si>
  <si>
    <t>01.04.04.01</t>
  </si>
  <si>
    <t>35.01.04.04.01</t>
  </si>
  <si>
    <t>34.01.04.04.01</t>
  </si>
  <si>
    <t>01.04.04.02</t>
  </si>
  <si>
    <t>35.01.04.04.02</t>
  </si>
  <si>
    <t>34.01.04.04.02</t>
  </si>
  <si>
    <t>01.04.05</t>
  </si>
  <si>
    <t>Outras Receitas Diversas e não especificádas</t>
  </si>
  <si>
    <t>35.01.04.05</t>
  </si>
  <si>
    <t>34.01.04.05</t>
  </si>
  <si>
    <t>01.04.05.02</t>
  </si>
  <si>
    <t>35.01.04.05.02</t>
  </si>
  <si>
    <t>34.01.04.05.02</t>
  </si>
  <si>
    <t xml:space="preserve">03.01.01.01.01.01.02 </t>
  </si>
  <si>
    <t>Receitas Não Fiscais</t>
  </si>
  <si>
    <t>Transferências de Capital</t>
  </si>
  <si>
    <t>03.01.01.02.04.02</t>
  </si>
  <si>
    <t>03.01.04.01.02.02</t>
  </si>
  <si>
    <t>Vendas de terrenos do domínio público</t>
  </si>
  <si>
    <t>03.01.01.06.02</t>
  </si>
  <si>
    <t>Outras Construções - Vendas</t>
  </si>
  <si>
    <t>Calheta de São Miguel, 30 de outubro de 2021.</t>
  </si>
  <si>
    <t>O Presidente da Câmara Municipal</t>
  </si>
  <si>
    <t>_____________________________________________</t>
  </si>
  <si>
    <t>Herménio Celso Fernandes</t>
  </si>
  <si>
    <t>Operações Activas</t>
  </si>
  <si>
    <t>Contas de Ordem</t>
  </si>
  <si>
    <t>Operações de Tesouraria</t>
  </si>
  <si>
    <t>Receitas Fiscais</t>
  </si>
  <si>
    <t>Taxas e Preços Públicos</t>
  </si>
  <si>
    <t>Bens e Serviços não Patrimoniais</t>
  </si>
  <si>
    <t>Transferências Correntes</t>
  </si>
  <si>
    <t>Venda de Bens Duradouros</t>
  </si>
  <si>
    <t>Venda de Serviços e Bens não Duradouros</t>
  </si>
  <si>
    <t>Outras Receitas Correntes</t>
  </si>
  <si>
    <t>Imobilizações Corpóreas</t>
  </si>
  <si>
    <t xml:space="preserve">Impostos </t>
  </si>
  <si>
    <t>Outras Receitas Fiscais</t>
  </si>
  <si>
    <t>Multa por infracções fiscais</t>
  </si>
  <si>
    <t>Câmara Municipal de São Miguel</t>
  </si>
  <si>
    <t>MAPA II - DESPESA DE FUNCIONAMENTO E DE INVESTIMENTO DO MUNICÍPIO SEGUNDO AS CLASSIFICAÇÕES ECONÓMICA E ORGÂNICA</t>
  </si>
  <si>
    <t>Descrição</t>
  </si>
  <si>
    <t>Unidade Orgânica</t>
  </si>
  <si>
    <t>Peso no ORC</t>
  </si>
  <si>
    <t>Assembleia Municipal</t>
  </si>
  <si>
    <t>Gabinete Presidente</t>
  </si>
  <si>
    <t>Direção Financeira</t>
  </si>
  <si>
    <t xml:space="preserve">Dir.Ambiente e Saneamento </t>
  </si>
  <si>
    <t>Dir. Proteção Civil</t>
  </si>
  <si>
    <t xml:space="preserve">Dir. Juventude e Cultura </t>
  </si>
  <si>
    <t>Direção de Inovação e Desporto</t>
  </si>
  <si>
    <t>Dir. do Comércio, Indústria, Transporte Feiras e Pesca</t>
  </si>
  <si>
    <t>Dir. Turismo, Investimento e Emprendedorismo</t>
  </si>
  <si>
    <t>Direçao da Habitação</t>
  </si>
  <si>
    <t>Direção da Educação, Formação Profissional, Emprego</t>
  </si>
  <si>
    <t>Direcao da Familia, Inclusão, Genero e Saúde</t>
  </si>
  <si>
    <t>Dir. Recursos Humanos</t>
  </si>
  <si>
    <t>Dir. da Agricultura, Pecuaria e Floresta</t>
  </si>
  <si>
    <t>Delegações Municipais</t>
  </si>
  <si>
    <t>Unidade Gestão de Aquisições</t>
  </si>
  <si>
    <t>Gabinete da Auditoria Interna</t>
  </si>
  <si>
    <t>Gabinete de Gestão e Controlo de Qualidade</t>
  </si>
  <si>
    <t>Direção dos Assuntos Jurídicos, Fiscalização e Policia Municipal</t>
  </si>
  <si>
    <t>Gabinete de relações Externas</t>
  </si>
  <si>
    <t>Gabinete de Gestão de Projetos</t>
  </si>
  <si>
    <t>Gabinete de comunicação e Imagem</t>
  </si>
  <si>
    <t>Direção de Obras</t>
  </si>
  <si>
    <t>Direção de Urbanismo</t>
  </si>
  <si>
    <t xml:space="preserve">D E S P E S A S   </t>
  </si>
  <si>
    <t>02.01</t>
  </si>
  <si>
    <t>Despesas com o pessoal</t>
  </si>
  <si>
    <t>02.01.01</t>
  </si>
  <si>
    <t>Remunerações certas e Permanentes</t>
  </si>
  <si>
    <t>cc</t>
  </si>
  <si>
    <t>Total</t>
  </si>
  <si>
    <t>02.01.01.01</t>
  </si>
  <si>
    <t>Remunerações e abonos</t>
  </si>
  <si>
    <t>02.01.01.01.01</t>
  </si>
  <si>
    <t>Pessoal dos quadros especiais</t>
  </si>
  <si>
    <t>02.01.01.02.07</t>
  </si>
  <si>
    <t>02.01.01.01.02</t>
  </si>
  <si>
    <t>Pessoal do quadro</t>
  </si>
  <si>
    <t>02.01.01.01.03</t>
  </si>
  <si>
    <t>Pessoal contratado</t>
  </si>
  <si>
    <t>02.02.02.01.03.01</t>
  </si>
  <si>
    <t>02.01.01.01.04</t>
  </si>
  <si>
    <t>Pessoal em regime de avença</t>
  </si>
  <si>
    <t>02.01.01.02</t>
  </si>
  <si>
    <t>Abonos variáveis ou eventuais</t>
  </si>
  <si>
    <t>02.01.01.02.01</t>
  </si>
  <si>
    <t>Gratificações permanentes</t>
  </si>
  <si>
    <t>02.07.02.01</t>
  </si>
  <si>
    <t>02.01.01.02.02</t>
  </si>
  <si>
    <t>02.01.01.02.03</t>
  </si>
  <si>
    <t>Despesas de representação</t>
  </si>
  <si>
    <t>02.08.02</t>
  </si>
  <si>
    <t>02.01.01.02.04</t>
  </si>
  <si>
    <t>Gratificações eventuais</t>
  </si>
  <si>
    <t>02.01.01.02.05</t>
  </si>
  <si>
    <t>Horas extraordinárias</t>
  </si>
  <si>
    <t>02.01.01.02.06</t>
  </si>
  <si>
    <t>Alimentação e alojamento</t>
  </si>
  <si>
    <t xml:space="preserve">02.01.01.02.07 </t>
  </si>
  <si>
    <t>Formação</t>
  </si>
  <si>
    <t>02.01.01.02.08</t>
  </si>
  <si>
    <t>Subsídio de Instalação</t>
  </si>
  <si>
    <t>02.01.01.02.09</t>
  </si>
  <si>
    <t>Outros suplementos e abonos</t>
  </si>
  <si>
    <t>02.01.01.03</t>
  </si>
  <si>
    <t>Dotação provisional</t>
  </si>
  <si>
    <t>03.01.01.01.04.01</t>
  </si>
  <si>
    <t>02.01.01.03.01</t>
  </si>
  <si>
    <t>Aumentos salariais</t>
  </si>
  <si>
    <t>02.01.01.03.02</t>
  </si>
  <si>
    <t>Recrutamentos e nomeações</t>
  </si>
  <si>
    <t>03.01.01.01.06.01</t>
  </si>
  <si>
    <t>02.01.01.03.03</t>
  </si>
  <si>
    <t>Progressões</t>
  </si>
  <si>
    <t>02.01.01.03.04</t>
  </si>
  <si>
    <t>Reclassificações</t>
  </si>
  <si>
    <t>02.01.01.03.05</t>
  </si>
  <si>
    <t>Reingressos</t>
  </si>
  <si>
    <t>02.01.01.03.06</t>
  </si>
  <si>
    <t>Promoções</t>
  </si>
  <si>
    <t>02.01.02</t>
  </si>
  <si>
    <t>Segurança social dos agentes do Município</t>
  </si>
  <si>
    <t>02.01.02.01</t>
  </si>
  <si>
    <t>02.01.02.01.01</t>
  </si>
  <si>
    <t>Contribuições para a segurança social</t>
  </si>
  <si>
    <t>02.01.02.01.02</t>
  </si>
  <si>
    <t>Encargos com a saúde</t>
  </si>
  <si>
    <t>03.01.01.02.04.01</t>
  </si>
  <si>
    <t>02.01.02.01.03</t>
  </si>
  <si>
    <t>Abono de família</t>
  </si>
  <si>
    <t>02.01.02.01.04</t>
  </si>
  <si>
    <t>Seguros de acidentes no trabalho</t>
  </si>
  <si>
    <t>02.02</t>
  </si>
  <si>
    <t>Aquisição de bens e serviços</t>
  </si>
  <si>
    <t>02.02.01</t>
  </si>
  <si>
    <t>Aquisição de bens</t>
  </si>
  <si>
    <t>02.02.01.00.00</t>
  </si>
  <si>
    <t>Livros e documentação técnica</t>
  </si>
  <si>
    <t>02.02.01.00.01</t>
  </si>
  <si>
    <t>Matérias-primas e subsidiárias</t>
  </si>
  <si>
    <t>02.02.01.00.02</t>
  </si>
  <si>
    <t>Medicamentos</t>
  </si>
  <si>
    <t>03.01.04.04.02.01</t>
  </si>
  <si>
    <t>02.02.01.00.03</t>
  </si>
  <si>
    <t>Produtos alimentares</t>
  </si>
  <si>
    <t>02.02.01.00.04</t>
  </si>
  <si>
    <t>Roupa, vestuário e calçado</t>
  </si>
  <si>
    <t>02.02.01.00.05</t>
  </si>
  <si>
    <t>Material de escritório</t>
  </si>
  <si>
    <t>02.02.01.00.08</t>
  </si>
  <si>
    <t>Material de educação, cultura e recreio</t>
  </si>
  <si>
    <t>02.02.01.00.09</t>
  </si>
  <si>
    <t>Material de transporte – peças</t>
  </si>
  <si>
    <t>02.02.01.01.01</t>
  </si>
  <si>
    <t>Artigos honoríficos e de decoração</t>
  </si>
  <si>
    <t>02.02.01.01.02</t>
  </si>
  <si>
    <t>Combustíveis e lubrificantes</t>
  </si>
  <si>
    <t>02.02.01.01.03</t>
  </si>
  <si>
    <t>Material de limpeza, higiene e conforto</t>
  </si>
  <si>
    <t>02.02.01.01.04</t>
  </si>
  <si>
    <t>Material de conservação e reparação</t>
  </si>
  <si>
    <t>02.02.01.09.09</t>
  </si>
  <si>
    <t>Outros bens</t>
  </si>
  <si>
    <t>02.02.02</t>
  </si>
  <si>
    <t>Aquisição de serviços</t>
  </si>
  <si>
    <t>02.02.02.00.01</t>
  </si>
  <si>
    <t>Rendas e alugueres</t>
  </si>
  <si>
    <t>02.02.02.00.02</t>
  </si>
  <si>
    <t>Conservação e reparação de bens</t>
  </si>
  <si>
    <t>02.02.02.00.03</t>
  </si>
  <si>
    <t>Comunicações</t>
  </si>
  <si>
    <t>02.02.02.00.04</t>
  </si>
  <si>
    <t>Transportes</t>
  </si>
  <si>
    <t>02.02.02.00.05</t>
  </si>
  <si>
    <t>Água</t>
  </si>
  <si>
    <t>02.02.02.00.06</t>
  </si>
  <si>
    <t>Energia eléctrica</t>
  </si>
  <si>
    <t>02.02.02.00.07</t>
  </si>
  <si>
    <t>Publicidade e propaganda</t>
  </si>
  <si>
    <t>02.02.02.00.08</t>
  </si>
  <si>
    <t>Representação dos serviços</t>
  </si>
  <si>
    <t>02.02.02.00.09</t>
  </si>
  <si>
    <t>Deslocações e estadias</t>
  </si>
  <si>
    <t>02.02.02.01.00</t>
  </si>
  <si>
    <t>Vigilância e segurança</t>
  </si>
  <si>
    <t>02.02.02.01.01</t>
  </si>
  <si>
    <t>Limpeza, higiene e conforto</t>
  </si>
  <si>
    <t>Limpeza, higiéne e conforto</t>
  </si>
  <si>
    <t>02.02.02.01.02</t>
  </si>
  <si>
    <t>Honorários</t>
  </si>
  <si>
    <t>Assistência Técnica - Residentes</t>
  </si>
  <si>
    <t xml:space="preserve">02.02.02.01.04 </t>
  </si>
  <si>
    <t>Outros encargos da dívida</t>
  </si>
  <si>
    <t>02.02.02.09.09</t>
  </si>
  <si>
    <t>Outros serviços</t>
  </si>
  <si>
    <t>02.04</t>
  </si>
  <si>
    <t>Juros e outros encargos</t>
  </si>
  <si>
    <t>02 .04.01</t>
  </si>
  <si>
    <t>Juros da dívida pública externa</t>
  </si>
  <si>
    <t>02.04.02</t>
  </si>
  <si>
    <t>Juros da dívida pública interna</t>
  </si>
  <si>
    <t>02.05</t>
  </si>
  <si>
    <t>Subsídios</t>
  </si>
  <si>
    <t>02.05.01</t>
  </si>
  <si>
    <t>A Empresas Públicas</t>
  </si>
  <si>
    <t>02.05.01.01</t>
  </si>
  <si>
    <t>Empresas Públicas não financeiras</t>
  </si>
  <si>
    <t>02.05.01.02</t>
  </si>
  <si>
    <t>Empresas Públicas financeiras</t>
  </si>
  <si>
    <t>02.05.02</t>
  </si>
  <si>
    <t>A Empresas Privadas</t>
  </si>
  <si>
    <t>02.05.02.01</t>
  </si>
  <si>
    <t>A Empresas Privadas não financeiras</t>
  </si>
  <si>
    <t>02.05.02.02</t>
  </si>
  <si>
    <t>A Empresas Privadas financeiras</t>
  </si>
  <si>
    <t>02.06</t>
  </si>
  <si>
    <t>Transferências</t>
  </si>
  <si>
    <t>02.06.02</t>
  </si>
  <si>
    <t>Organismos internacionais</t>
  </si>
  <si>
    <t>02.06.02.01</t>
  </si>
  <si>
    <t>Correntes</t>
  </si>
  <si>
    <t>02.06.02.01.01</t>
  </si>
  <si>
    <t>Quotas a organismos internacionais</t>
  </si>
  <si>
    <t>02.06.02.01.09</t>
  </si>
  <si>
    <t>02.06.03</t>
  </si>
  <si>
    <t>Administrações Públicas</t>
  </si>
  <si>
    <t>02.06.03.01</t>
  </si>
  <si>
    <t>02.06.03.01.01</t>
  </si>
  <si>
    <t>Fundos e serviços autónomos</t>
  </si>
  <si>
    <t>02.06.03.01.02</t>
  </si>
  <si>
    <t>Municípios</t>
  </si>
  <si>
    <t>02.06.03.01.09</t>
  </si>
  <si>
    <t xml:space="preserve">Outras Transf. Administ. Pública </t>
  </si>
  <si>
    <t>02.07</t>
  </si>
  <si>
    <t>Benefícios Sociais</t>
  </si>
  <si>
    <t>02.07.01</t>
  </si>
  <si>
    <t xml:space="preserve">Benefícios sociais </t>
  </si>
  <si>
    <t>Benefícios sociais em numerário</t>
  </si>
  <si>
    <t>02.07.01.01.01</t>
  </si>
  <si>
    <t>Pensão de Aposentação</t>
  </si>
  <si>
    <t>02.07.01.01.02</t>
  </si>
  <si>
    <t>Pensão de Sobrevivência</t>
  </si>
  <si>
    <t>02.07.01.01.07</t>
  </si>
  <si>
    <t>Prestação familiares</t>
  </si>
  <si>
    <t>02.07.02</t>
  </si>
  <si>
    <t>Benefícios de assistência social</t>
  </si>
  <si>
    <t>Beneficios sociais em numerário</t>
  </si>
  <si>
    <t>02.07.02.02</t>
  </si>
  <si>
    <t>02. 08</t>
  </si>
  <si>
    <t>Outras despesas</t>
  </si>
  <si>
    <t>02.08.01</t>
  </si>
  <si>
    <t>Seguros</t>
  </si>
  <si>
    <t>02.08.04</t>
  </si>
  <si>
    <t>Organizações não governamentais</t>
  </si>
  <si>
    <t>02.08.05</t>
  </si>
  <si>
    <t>Restituições</t>
  </si>
  <si>
    <t>02.08.06</t>
  </si>
  <si>
    <t>Indemnizações</t>
  </si>
  <si>
    <t>02.08.08</t>
  </si>
  <si>
    <t>03.02</t>
  </si>
  <si>
    <t>Activos financeiros</t>
  </si>
  <si>
    <t xml:space="preserve">03.02.01 </t>
  </si>
  <si>
    <t>Mercado interno</t>
  </si>
  <si>
    <t xml:space="preserve">03.02.01.02 </t>
  </si>
  <si>
    <t>Depósitos, certificados de depósito e poupança</t>
  </si>
  <si>
    <t xml:space="preserve">03.02.01.02.01 </t>
  </si>
  <si>
    <t>Constituições de depósitos, certificados de depósito e poupança</t>
  </si>
  <si>
    <t xml:space="preserve">03.02.01.02.02 </t>
  </si>
  <si>
    <t>Levantamentos de depósitos, certificados de depósitos e poupança</t>
  </si>
  <si>
    <t xml:space="preserve">03.02.01.03 </t>
  </si>
  <si>
    <t>Títulos</t>
  </si>
  <si>
    <t xml:space="preserve">03.02.01.03.01 </t>
  </si>
  <si>
    <t>Aquisições de títulos</t>
  </si>
  <si>
    <t xml:space="preserve">03.02.01.03.02 </t>
  </si>
  <si>
    <t>Alienações de títulos</t>
  </si>
  <si>
    <t>03.02.01.04</t>
  </si>
  <si>
    <t>Empréstimos concedidos</t>
  </si>
  <si>
    <t xml:space="preserve">03.02.01.04.01 </t>
  </si>
  <si>
    <t>Empréstimos Concedidos</t>
  </si>
  <si>
    <t xml:space="preserve">03.02.01.04.02 </t>
  </si>
  <si>
    <t>Amortizações de empréstimos concedidos</t>
  </si>
  <si>
    <t>03.02.01.05</t>
  </si>
  <si>
    <t>Acções e outras participações</t>
  </si>
  <si>
    <t>03.02.01.05.01</t>
  </si>
  <si>
    <t>Aquisições de acções e outras participações</t>
  </si>
  <si>
    <t xml:space="preserve">03.02.01.05.02 </t>
  </si>
  <si>
    <t>Alienações de acções e outras participações</t>
  </si>
  <si>
    <t xml:space="preserve">03.02.01.06 </t>
  </si>
  <si>
    <t>Reservas técnicas de seguros</t>
  </si>
  <si>
    <t xml:space="preserve">03.02.01.06.01 </t>
  </si>
  <si>
    <t>Aquisições de reservas técnicas de seguro</t>
  </si>
  <si>
    <t xml:space="preserve">03.02.01.06.02 </t>
  </si>
  <si>
    <t>Alienações de reservas técnicas de seguros</t>
  </si>
  <si>
    <t xml:space="preserve">03.02.01.07 </t>
  </si>
  <si>
    <t>Derivados fi nanceiros</t>
  </si>
  <si>
    <t xml:space="preserve">03.02.01.07.01 </t>
  </si>
  <si>
    <t>Aquisições de derivados fi nanceiros</t>
  </si>
  <si>
    <t xml:space="preserve">03.02.01.08.02 </t>
  </si>
  <si>
    <t>Alienações de derivados fi nanceiros</t>
  </si>
  <si>
    <t xml:space="preserve">03.02.01.08 </t>
  </si>
  <si>
    <t>Outros activos financeiros</t>
  </si>
  <si>
    <t xml:space="preserve">03.02.01.08.01 </t>
  </si>
  <si>
    <t>Aquisições outros activos financeiros</t>
  </si>
  <si>
    <t>Alienações de outros activos financeiros</t>
  </si>
  <si>
    <t xml:space="preserve">03.02.02 </t>
  </si>
  <si>
    <t>Mercado externo</t>
  </si>
  <si>
    <t xml:space="preserve">03.01 </t>
  </si>
  <si>
    <t>Activos não Financeiros</t>
  </si>
  <si>
    <t xml:space="preserve">03.01.01 </t>
  </si>
  <si>
    <t>Activos Fixos</t>
  </si>
  <si>
    <t>03.01.01.01.04</t>
  </si>
  <si>
    <t>Edificios para Ensino</t>
  </si>
  <si>
    <t>Aquisição de Edificios para Ensino</t>
  </si>
  <si>
    <t>03.01.01.01.06</t>
  </si>
  <si>
    <t>Outras  Construções</t>
  </si>
  <si>
    <t>Aquisição de outras construções</t>
  </si>
  <si>
    <t>03.01.01.02</t>
  </si>
  <si>
    <t>Máquina e Equipamento</t>
  </si>
  <si>
    <t>03.01.01.02.01.03</t>
  </si>
  <si>
    <t>Aquisições de viaturas ligeiras</t>
  </si>
  <si>
    <t>Aquisição de viaturas de carga</t>
  </si>
  <si>
    <t>03.01.01.02.03</t>
  </si>
  <si>
    <t>Equipamento administrativo</t>
  </si>
  <si>
    <t>03.01.01.02.03.01</t>
  </si>
  <si>
    <t>Aquisição de equipamentos Administrativos</t>
  </si>
  <si>
    <t>03.01.01.02.04</t>
  </si>
  <si>
    <t>Outras Maquinarias e Equipamentos</t>
  </si>
  <si>
    <t>Outras Maquinarias e Equipamentos Aquisições</t>
  </si>
  <si>
    <t>03.01.04.01.02</t>
  </si>
  <si>
    <t>Terrenos de Domínio Privado</t>
  </si>
  <si>
    <t>03.01.04.01.02.01</t>
  </si>
  <si>
    <t>Aquisiçoes de Terrenos de Domínio Privado</t>
  </si>
  <si>
    <t>03.01.04.04.02</t>
  </si>
  <si>
    <t>Aplicações informáticas</t>
  </si>
  <si>
    <t>Aplicações informáticas - Aquisições</t>
  </si>
  <si>
    <t>MAPA III - DESPESA DE FUNCIONAMENTO E DE INVESTIMENTO DO MUNICÍPIO SEGUNDO A CLASSIFICAÇÃO FUNCIONAL</t>
  </si>
  <si>
    <t>Código funcional</t>
  </si>
  <si>
    <t>Código económico</t>
  </si>
  <si>
    <t xml:space="preserve">Orçamento </t>
  </si>
  <si>
    <t>Peso no orçamento</t>
  </si>
  <si>
    <t>Funcionamento</t>
  </si>
  <si>
    <t>Investimento</t>
  </si>
  <si>
    <t>TOTAL</t>
  </si>
  <si>
    <t xml:space="preserve">07.00.01 </t>
  </si>
  <si>
    <t>Serviços Publicos Gerais</t>
  </si>
  <si>
    <t xml:space="preserve">07.00.01.03 </t>
  </si>
  <si>
    <t>Serviços Públicos Gerais</t>
  </si>
  <si>
    <t xml:space="preserve">07.00.01.03.01 </t>
  </si>
  <si>
    <t>Despesas com Pessoal</t>
  </si>
  <si>
    <t>07.00.01.03.03</t>
  </si>
  <si>
    <t>07.00.01.07.00</t>
  </si>
  <si>
    <t>07.00.01.08.00</t>
  </si>
  <si>
    <t>Transferênçias</t>
  </si>
  <si>
    <t>07.00.01.06.00</t>
  </si>
  <si>
    <t>07.00.08</t>
  </si>
  <si>
    <t>02.08</t>
  </si>
  <si>
    <t>Outras Despesas</t>
  </si>
  <si>
    <t>03.01</t>
  </si>
  <si>
    <t>Ativos não financeiros</t>
  </si>
  <si>
    <t>07.00.03</t>
  </si>
  <si>
    <t>Segurança e Ordem Pública</t>
  </si>
  <si>
    <t>07.00.03.06.00</t>
  </si>
  <si>
    <t>Formação de bombeiros/fiscais municipais</t>
  </si>
  <si>
    <t xml:space="preserve">07.00.04 </t>
  </si>
  <si>
    <t>Assuntos Económicos</t>
  </si>
  <si>
    <t>07.00.04.01.02</t>
  </si>
  <si>
    <t>Apoio a formação profissional</t>
  </si>
  <si>
    <t>Empoderamento da mulher</t>
  </si>
  <si>
    <t>07.00.04.02.04</t>
  </si>
  <si>
    <t>03.01.01.02.02.01</t>
  </si>
  <si>
    <t>Apoio para aquisição de materiais de pescas e botes</t>
  </si>
  <si>
    <t>07.00.04.07.03</t>
  </si>
  <si>
    <t>Sinalização turística do Concelho de São Miguel</t>
  </si>
  <si>
    <t>07.00.04.04.03</t>
  </si>
  <si>
    <t>Construção de Mercadinhos flamengo e ribeira principal</t>
  </si>
  <si>
    <t>07.00.04.04.02</t>
  </si>
  <si>
    <t>Construção do Parque Industrial</t>
  </si>
  <si>
    <t xml:space="preserve">07.00.05 </t>
  </si>
  <si>
    <t>Protecção Ambiental</t>
  </si>
  <si>
    <t>07.00.05.02.00</t>
  </si>
  <si>
    <t>Rede de esgotos</t>
  </si>
  <si>
    <t>07.00.05.06</t>
  </si>
  <si>
    <t>Reforço do saneamento básico</t>
  </si>
  <si>
    <t>Transferência de Residuos Aterro Santiago</t>
  </si>
  <si>
    <t>Plano de emergencia epoca das chuvas</t>
  </si>
  <si>
    <t>Plano de mitigação as secas e maus anos agricolas</t>
  </si>
  <si>
    <t xml:space="preserve">07.00.06 </t>
  </si>
  <si>
    <t>Habitação e Desenvolvimento Urbanístico</t>
  </si>
  <si>
    <t>07.00.06.02.00</t>
  </si>
  <si>
    <t>Reabilitação de jardins infantis e escolas do EBI</t>
  </si>
  <si>
    <t>Manutenção dos USB´s</t>
  </si>
  <si>
    <t>Criação e manutenção de espaços verdes</t>
  </si>
  <si>
    <t>Manutenção e Reabilitação de Edificios Municipais</t>
  </si>
  <si>
    <t xml:space="preserve">Conclusão das obras de casa das artes de Achada Bolanha </t>
  </si>
  <si>
    <t>Projeto de valorização Turistica das aldeias rurais</t>
  </si>
  <si>
    <t>07.00.06.06</t>
  </si>
  <si>
    <t xml:space="preserve">Manutenção do  Estádio Municipal </t>
  </si>
  <si>
    <t>Construção de Casas de Banho</t>
  </si>
  <si>
    <t>Manutenção de cemitérios</t>
  </si>
  <si>
    <t>07.00.06.01.00</t>
  </si>
  <si>
    <t>Toponimia e Enumeração Policial</t>
  </si>
  <si>
    <t>07.00.06.02</t>
  </si>
  <si>
    <t>Infraestruturação da Zona do Bácio</t>
  </si>
  <si>
    <t>Elaboração de Planos Detalhados</t>
  </si>
  <si>
    <t>07.00.06.03</t>
  </si>
  <si>
    <t>Projeto de Abastecimento de Àgua as comunidades de Flamentos e Ribeira de São Miguel</t>
  </si>
  <si>
    <t>07.00.07</t>
  </si>
  <si>
    <t>Saúde</t>
  </si>
  <si>
    <t>07.00.07.04</t>
  </si>
  <si>
    <t>Apoio consultas de especialidade e medicamentos</t>
  </si>
  <si>
    <t>Serviços culturais, recreativos e religiosos</t>
  </si>
  <si>
    <t>07.00.08.02.00</t>
  </si>
  <si>
    <t>Atividades culturais e promoção da cultura no Concelho</t>
  </si>
  <si>
    <t>07.00.09</t>
  </si>
  <si>
    <t>Educação</t>
  </si>
  <si>
    <t>Apoio ao ensino básico e secundário</t>
  </si>
  <si>
    <t>Apoio pre escolar</t>
  </si>
  <si>
    <t>07.00.09.04</t>
  </si>
  <si>
    <t>Comparticipação Ensino Superior</t>
  </si>
  <si>
    <t>07.00.09.02</t>
  </si>
  <si>
    <t>Transporte escolar</t>
  </si>
  <si>
    <t>07.00.10</t>
  </si>
  <si>
    <t>Proteção Social</t>
  </si>
  <si>
    <t>07.00.10.06.00</t>
  </si>
  <si>
    <t>07.00.10.04.00</t>
  </si>
  <si>
    <t>Apoio a crianças vulneráveis</t>
  </si>
  <si>
    <t>Habitações Sociais</t>
  </si>
  <si>
    <t>Câmara Municipalde São Miguel, 30 de outubro de 2021.</t>
  </si>
  <si>
    <t>Município de São Miguel</t>
  </si>
  <si>
    <t>MAPA VII- Orçamento consolidado das receitas e ativos não financeiros  e das despesas e ativos não financeiros de funcionamento e investimentos, segundo uma classificação económica</t>
  </si>
  <si>
    <t>Económica</t>
  </si>
  <si>
    <t>Capítulo/Grupo</t>
  </si>
  <si>
    <t>01'</t>
  </si>
  <si>
    <t>Receitas e ativos não financeiros</t>
  </si>
  <si>
    <t xml:space="preserve">01.01 </t>
  </si>
  <si>
    <t xml:space="preserve">01.02 </t>
  </si>
  <si>
    <t xml:space="preserve">01.03 </t>
  </si>
  <si>
    <t>Total  GERAL/RECEITAS</t>
  </si>
  <si>
    <t>Receitas de capital</t>
  </si>
  <si>
    <t>Total das Receitas de capital</t>
  </si>
  <si>
    <t>Despesas de correntes</t>
  </si>
  <si>
    <t xml:space="preserve">02.01 </t>
  </si>
  <si>
    <t xml:space="preserve">02.02 </t>
  </si>
  <si>
    <t xml:space="preserve">02.04 </t>
  </si>
  <si>
    <t xml:space="preserve">02.06 </t>
  </si>
  <si>
    <t xml:space="preserve">02.07 </t>
  </si>
  <si>
    <t xml:space="preserve">02. 08 </t>
  </si>
  <si>
    <t>Total Despesas Correntes</t>
  </si>
  <si>
    <t>Eixos- Investimentos</t>
  </si>
  <si>
    <t>CAPITAL HUMANO</t>
  </si>
  <si>
    <t>COMPETITIVIDADE</t>
  </si>
  <si>
    <t>INFRA-ESTRUTURAÇÃO</t>
  </si>
  <si>
    <t>COESÃO SOCIAL</t>
  </si>
  <si>
    <t>Total Despesas Investimentos</t>
  </si>
  <si>
    <t>TOTAL GERAL</t>
  </si>
  <si>
    <t>Mapa VIII - Orçamento consolidado das Receitas  e ativos não financeiros  das Despesas de Funcionamento  segundo uma classificação Orgânica</t>
  </si>
  <si>
    <t>Receitas</t>
  </si>
  <si>
    <t>Ano</t>
  </si>
  <si>
    <t>Peso</t>
  </si>
  <si>
    <t xml:space="preserve">Despesas </t>
  </si>
  <si>
    <t>%</t>
  </si>
  <si>
    <t>Segurança Social</t>
  </si>
  <si>
    <t>Outras receitas</t>
  </si>
  <si>
    <t>Despesas de Investimentos</t>
  </si>
  <si>
    <t>Receitas totais</t>
  </si>
  <si>
    <t>Despesas Totais</t>
  </si>
  <si>
    <t>MAPA IX - ORÇAMENTO CONSOLIDADO DAS DESPESAS DO MUNICÍPIO, SEGUNDO A CLASSIFICAÇÃO FUNCIONAL</t>
  </si>
  <si>
    <t>Câmara Municipal de São Miguel, 30 de outubro de 2021.</t>
  </si>
  <si>
    <t>MAPA X - Programa de Investimentos Públicos do Município, Estruturado por Programa e Sub-programa</t>
  </si>
  <si>
    <t>Eixos</t>
  </si>
  <si>
    <t>Prog</t>
  </si>
  <si>
    <t>C.E</t>
  </si>
  <si>
    <t>Fontes de Financiamento</t>
  </si>
  <si>
    <t>Orçamento Municipal</t>
  </si>
  <si>
    <t>Governo/Tesouro</t>
  </si>
  <si>
    <t xml:space="preserve">Donativos </t>
  </si>
  <si>
    <t>Empréstimo</t>
  </si>
  <si>
    <t>TRANSVERSAL</t>
  </si>
  <si>
    <t>Género</t>
  </si>
  <si>
    <t>Promoção da igualdade e equidade do género</t>
  </si>
  <si>
    <t>Empoderamento da Mulher</t>
  </si>
  <si>
    <t>04</t>
  </si>
  <si>
    <t>Ambiente</t>
  </si>
  <si>
    <t>Gestão Equilibrada dos Recursos Naturais</t>
  </si>
  <si>
    <t>BOA GOVERNAÇÃO</t>
  </si>
  <si>
    <t>01</t>
  </si>
  <si>
    <t>Reforma do Estado e da Administração Pública</t>
  </si>
  <si>
    <t>Modernização da Administração Pública</t>
  </si>
  <si>
    <t>projeto São Miguel On</t>
  </si>
  <si>
    <t>Programa Mais Qualidade mais comunidade</t>
  </si>
  <si>
    <t>Projecto hidroagricula da ribeira de flamengos e espinho branco e achada espinho branco</t>
  </si>
  <si>
    <t>Governação Eletrónica</t>
  </si>
  <si>
    <t>02</t>
  </si>
  <si>
    <t>Segurança</t>
  </si>
  <si>
    <t>Reforço da Segurança Interna</t>
  </si>
  <si>
    <t>Formação de Bombeiros/Fiscais Municipais</t>
  </si>
  <si>
    <t>Melhoria da Qualidade do Ensino Pré-Escolar</t>
  </si>
  <si>
    <t>Apoio ao ensino básico e secundário (ver execucao)</t>
  </si>
  <si>
    <t>Apoio pre escolar (ver execucao)</t>
  </si>
  <si>
    <t>Melhoria da Qualidade do Ensino Secundário</t>
  </si>
  <si>
    <t>Ensino Superior</t>
  </si>
  <si>
    <t>Desporto</t>
  </si>
  <si>
    <t>Generalização da Prática Desportiva</t>
  </si>
  <si>
    <t>Atividades desportivas e promoção do desporto no Concelho</t>
  </si>
  <si>
    <t>Construção e Reabilitação de Placas Desportivas</t>
  </si>
  <si>
    <t>03</t>
  </si>
  <si>
    <t>Emprego e Formação Profissional</t>
  </si>
  <si>
    <t>Formação profissional direc. para o emprego e inclusão social</t>
  </si>
  <si>
    <t>Estágios Profissionais e promocao de emprego</t>
  </si>
  <si>
    <t>Apoio a Formação Profissional</t>
  </si>
  <si>
    <t>Cultura</t>
  </si>
  <si>
    <t>Valorização dos Produtos Culturais e Património Histórico-Cultural</t>
  </si>
  <si>
    <t>05</t>
  </si>
  <si>
    <t>Melhoria da Prestação de Cuidados de Saúde</t>
  </si>
  <si>
    <t>Apoio Consultas de Especialidade e Medicamentos</t>
  </si>
  <si>
    <t xml:space="preserve">promoçao e inclusao social </t>
  </si>
  <si>
    <t>Pesca</t>
  </si>
  <si>
    <t>Apoio para Aquisição de Materiais de Pescas e Botes</t>
  </si>
  <si>
    <t>Turismo</t>
  </si>
  <si>
    <t>Sinalização Turística do Concelho de São Miguel</t>
  </si>
  <si>
    <t>4</t>
  </si>
  <si>
    <t>Comércio</t>
  </si>
  <si>
    <t>Valorização da Produção Nacional</t>
  </si>
  <si>
    <t>Indústria</t>
  </si>
  <si>
    <t>Integração da Indústria na Política de Desenvolvimento</t>
  </si>
  <si>
    <t>Construção do parque industrial</t>
  </si>
  <si>
    <t>Ordenamento do Território</t>
  </si>
  <si>
    <t>Melhoria da Gestão do Território, Solos e Cadastro</t>
  </si>
  <si>
    <t xml:space="preserve">Revisão do PDM </t>
  </si>
  <si>
    <t xml:space="preserve">Saneamento Básico </t>
  </si>
  <si>
    <t>Melhoria do Sistema de Recolha, Tratamento dos Resíduos Sólidos e Águas Residuais</t>
  </si>
  <si>
    <t>Reforço do Saneamento Básico</t>
  </si>
  <si>
    <t>Manutenção de Cemitérios</t>
  </si>
  <si>
    <t>03.01.01.02..01.03.01</t>
  </si>
  <si>
    <t>controlo da população canina</t>
  </si>
  <si>
    <t>Rede de Esgotos</t>
  </si>
  <si>
    <t>Gestão dos Recursos Hídricos</t>
  </si>
  <si>
    <t>Melhoria da Gestão Integrada e Qualidade de Água para o Abastecimento Público</t>
  </si>
  <si>
    <t>Ligações domiciliarias nas localidades de Lém Cardoso,  Espinho Branco, Flamengos e Ribeira de São Miguel</t>
  </si>
  <si>
    <t>Infra-Estruturas e Transportes</t>
  </si>
  <si>
    <t>Garantia de Condições de Segurança das Estradas para a Circulação</t>
  </si>
  <si>
    <t>Manutenção de Caminhos Vicinais e Melhoramento de Acessos</t>
  </si>
  <si>
    <t>projeto de selagem da lixeira de bacio</t>
  </si>
  <si>
    <t xml:space="preserve">Sinalização de Transito </t>
  </si>
  <si>
    <t>Plano de Mitigação as secas e maus anos agricolas</t>
  </si>
  <si>
    <t>Energia</t>
  </si>
  <si>
    <t>Melhoria das Infraestrut. Produção, Armazenamento e Distribuição de Energia</t>
  </si>
  <si>
    <t>Eletrificação de Ponta Can</t>
  </si>
  <si>
    <t>06</t>
  </si>
  <si>
    <t>Requalificação Urbana e Habitação</t>
  </si>
  <si>
    <t>Melhoria da Planificação Urbanística, Habitacional e Requalificação</t>
  </si>
  <si>
    <t>requalificaçao urbana e ambiental de veneza</t>
  </si>
  <si>
    <t xml:space="preserve">Reabilitações de estradas rurais </t>
  </si>
  <si>
    <t>Reabilitação de mercados</t>
  </si>
  <si>
    <t>Construção do campo de Manguinho e achada bolanha</t>
  </si>
  <si>
    <t>Asfaltagem da via de acesso a rabelado em Espinho Branco</t>
  </si>
  <si>
    <t>Requalificação urbana e ambiental de Dacalinha em Achada Monte</t>
  </si>
  <si>
    <t>Construção da Estrada Igreja a Cutelo Gomes</t>
  </si>
  <si>
    <t>Construção de mercados de peixes</t>
  </si>
  <si>
    <t>Construção da Estrada de Mato Dentro</t>
  </si>
  <si>
    <t>Construção da Estrada Aguadinha</t>
  </si>
  <si>
    <t>Requalificação urbana e ambiental de Variante Monte pousada</t>
  </si>
  <si>
    <t>Reabilitação de espaços jovens ponta verde</t>
  </si>
  <si>
    <t>Habitação social</t>
  </si>
  <si>
    <t>Melhoria das Condições de Habitação dos Mais Desfavorecidos</t>
  </si>
  <si>
    <t>Proteção  Social</t>
  </si>
  <si>
    <t>Proteção dos Direitos das crianças e adolescente</t>
  </si>
  <si>
    <t>Apoio a crianças Vulneráveis</t>
  </si>
  <si>
    <t>MAPA XI- Resumo das operações fiscais do Municipio, especificando os saldos e a natureza do seu financiamento</t>
  </si>
  <si>
    <t>Administração directa</t>
  </si>
  <si>
    <t>Serviços Autónomos</t>
  </si>
  <si>
    <t>Sub-total</t>
  </si>
  <si>
    <t>Parcial
%</t>
  </si>
  <si>
    <t>Global%</t>
  </si>
  <si>
    <t>1ª analise</t>
  </si>
  <si>
    <t>TOTAL RECEITAS</t>
  </si>
  <si>
    <t>O1</t>
  </si>
  <si>
    <t>RECEITAS</t>
  </si>
  <si>
    <t>Amortização</t>
  </si>
  <si>
    <t>2ª analise</t>
  </si>
  <si>
    <t xml:space="preserve">Saldo </t>
  </si>
  <si>
    <t xml:space="preserve">01.04 </t>
  </si>
  <si>
    <t>ativos</t>
  </si>
  <si>
    <t>TOTAL DESPESAS</t>
  </si>
  <si>
    <t>O2</t>
  </si>
  <si>
    <t>DESPESAS</t>
  </si>
  <si>
    <t>Despesas com pessoal</t>
  </si>
  <si>
    <t>INV - FINANC PROPRIO</t>
  </si>
  <si>
    <t>…</t>
  </si>
  <si>
    <t>amortizações</t>
  </si>
  <si>
    <t>Activos não financeiros</t>
  </si>
  <si>
    <t>Financiamento interno</t>
  </si>
  <si>
    <t xml:space="preserve">  Financiamento externo</t>
  </si>
  <si>
    <t>Total Receita</t>
  </si>
  <si>
    <t>Total Despesas</t>
  </si>
  <si>
    <t>Saldo</t>
  </si>
  <si>
    <t>Financiamento</t>
  </si>
  <si>
    <t>03.02 - Ativos Financeiros</t>
  </si>
  <si>
    <t>Valor</t>
  </si>
  <si>
    <t>Activos Financeiros</t>
  </si>
  <si>
    <t>Mercado Interno</t>
  </si>
  <si>
    <t xml:space="preserve">Empréstimos concedidos </t>
  </si>
  <si>
    <t>Empréstimos concedidos  Amortização</t>
  </si>
  <si>
    <t>Acçoes e outras Participações -Aquisição</t>
  </si>
  <si>
    <t>03.02.01.02.01</t>
  </si>
  <si>
    <t>Constituições de depósitos, certificados de depósitos e poupanças</t>
  </si>
  <si>
    <t>Passivos Financeiros</t>
  </si>
  <si>
    <t xml:space="preserve"> </t>
  </si>
  <si>
    <t>Empréstimos Obtidos - Aquisições</t>
  </si>
  <si>
    <t>Empréstimos Obtidos  Amortização</t>
  </si>
  <si>
    <t>Outras Passivos Financeiros - Aquisição</t>
  </si>
  <si>
    <t>Mercado Externo</t>
  </si>
  <si>
    <t>Total de Operações activas</t>
  </si>
  <si>
    <t>Total de Operações Passivo</t>
  </si>
  <si>
    <t>Necessidade de Financiamento</t>
  </si>
  <si>
    <t>Déficit Global</t>
  </si>
  <si>
    <t>GAP</t>
  </si>
  <si>
    <t>Orçamento de 2021</t>
  </si>
  <si>
    <t>CALCULO DOS JUROS E AMORTIZAÇÕES PARA 2021 CREDITO 01 A 05</t>
  </si>
  <si>
    <t>bca</t>
  </si>
  <si>
    <t>MONT/CREDITO     005</t>
  </si>
  <si>
    <t>JUROS</t>
  </si>
  <si>
    <t>AMORTIZAÇÕES</t>
  </si>
  <si>
    <t>Valores</t>
  </si>
  <si>
    <t>mês</t>
  </si>
  <si>
    <t>Soma de juros</t>
  </si>
  <si>
    <t>Soma de amortização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</si>
  <si>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</si>
  <si>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</si>
  <si>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</si>
  <si>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</si>
  <si>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</si>
  <si>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</si>
  <si>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</si>
  <si>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</si>
  <si>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</si>
  <si>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</si>
  <si>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</si>
  <si>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</si>
  <si>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MONT/CREDITO     004</t>
  </si>
  <si>
    <t>MONT/CREDITO     003</t>
  </si>
  <si>
    <t>Liquidado</t>
  </si>
  <si>
    <t>MONT/CREDITO     002</t>
  </si>
  <si>
    <t>MONT/CREDITO     001</t>
  </si>
  <si>
    <t>TOTAL DE JUROS 2021</t>
  </si>
  <si>
    <t>TOTAL DE AMORTIZAÇÕES 2021</t>
  </si>
  <si>
    <t>Calheta de São Miguel, 13 de setembro de 2021.</t>
  </si>
  <si>
    <t>emprestimo</t>
  </si>
  <si>
    <t>amortização</t>
  </si>
  <si>
    <t>prestação</t>
  </si>
  <si>
    <t>juros</t>
  </si>
  <si>
    <t>capital em divida</t>
  </si>
  <si>
    <t>Emp001</t>
  </si>
  <si>
    <t>Emp002</t>
  </si>
  <si>
    <t>emp004</t>
  </si>
  <si>
    <t>emp005</t>
  </si>
  <si>
    <t>emp007</t>
  </si>
  <si>
    <t>Rubrica</t>
  </si>
  <si>
    <t>Nome</t>
  </si>
  <si>
    <t>CC</t>
  </si>
  <si>
    <t>cod</t>
  </si>
  <si>
    <t>Sum of Valor</t>
  </si>
  <si>
    <t>Projecto hidroagricula da ribeira de flamengos, espinho branco e achada espinho branco</t>
  </si>
  <si>
    <t>Reabilitação de Placas Desportivas</t>
  </si>
  <si>
    <t>vedaçao do campo de Manguinho e achada bolanha</t>
  </si>
  <si>
    <t>espaço tratamento de peixes</t>
  </si>
  <si>
    <t>Reabilitação de espaço joven de ponta verde e pilao cao</t>
  </si>
  <si>
    <t>Manutenção dos USB´s da ribeira de são miguel</t>
  </si>
  <si>
    <t>Ligações domiciliarias nas localidades de Lém Cardoso, pilao cao  Espinho Branco, Flamengos e Ribeira de São Miguel</t>
  </si>
  <si>
    <t>Criação e Manutenção de parques infantis e Espaços Fitness Park</t>
  </si>
  <si>
    <t>nome</t>
  </si>
  <si>
    <t>valor</t>
  </si>
  <si>
    <t>rubrica</t>
  </si>
  <si>
    <t>Sum of valor</t>
  </si>
  <si>
    <t>02.01.01.02.07 Total</t>
  </si>
  <si>
    <t>02.02.02.01.03.01 Total</t>
  </si>
  <si>
    <t>02.07.02.01 Total</t>
  </si>
  <si>
    <t>02.08.02 Total</t>
  </si>
  <si>
    <t>03.01.01.01.04.01 Total</t>
  </si>
  <si>
    <t>03.01.01.01.06.01 Total</t>
  </si>
  <si>
    <t>03.01.01.02.04.01 Total</t>
  </si>
  <si>
    <t>03.01.04.04.02.01 Total</t>
  </si>
  <si>
    <t xml:space="preserve">Apoio pre escolar </t>
  </si>
  <si>
    <t xml:space="preserve">Apoio ao ensino básico e secundário </t>
  </si>
  <si>
    <t>j</t>
  </si>
  <si>
    <t>Imposto Único sobre Património</t>
  </si>
  <si>
    <t>Pessoas Singulares</t>
  </si>
  <si>
    <t>Pessoas colectivas</t>
  </si>
  <si>
    <t>Sobre Bens e Servisos</t>
  </si>
  <si>
    <t>Sobre Vendas</t>
  </si>
  <si>
    <t>Imposto Sobre os serviços de incêndio</t>
  </si>
  <si>
    <t>Sobre o Consumo</t>
  </si>
  <si>
    <t>Sobre o Consumos Especiais</t>
  </si>
  <si>
    <t>Impostros Cobrados por outras entidades</t>
  </si>
  <si>
    <t>Impostos Diversos Sobre serviços</t>
  </si>
  <si>
    <t>Imposto de Turismo</t>
  </si>
  <si>
    <t>Outros Diversos</t>
  </si>
  <si>
    <t>Outros Impostos</t>
  </si>
  <si>
    <t>Impostos de Circulação de Veículos Automóveis</t>
  </si>
  <si>
    <t>Outros Impostos Diversos Sobre Bens e Serviços</t>
  </si>
  <si>
    <t>Ajuda Orçamental</t>
  </si>
  <si>
    <t>Ajuda Alimentar</t>
  </si>
  <si>
    <t>Donativos Directos</t>
  </si>
  <si>
    <t>Outras</t>
  </si>
  <si>
    <t>Capital</t>
  </si>
  <si>
    <t>Administração Central</t>
  </si>
  <si>
    <t>Administração Locall</t>
  </si>
  <si>
    <t>Juros</t>
  </si>
  <si>
    <t>Dividendos</t>
  </si>
  <si>
    <t xml:space="preserve">Dividendos de Quase Sociedades </t>
  </si>
  <si>
    <t>Receitas Provinientes de Reservas Técnicas</t>
  </si>
  <si>
    <t>Rendas</t>
  </si>
  <si>
    <t>De Concessões Aeroportuárias</t>
  </si>
  <si>
    <t>De Concessões portuárias</t>
  </si>
  <si>
    <t>De Outras Concessões</t>
  </si>
  <si>
    <t>De Terrenos</t>
  </si>
  <si>
    <t>De Habitações</t>
  </si>
  <si>
    <t>De Edifícios</t>
  </si>
  <si>
    <t>Outras Rendas</t>
  </si>
  <si>
    <t>Outros  Rendimentos de Propriedades</t>
  </si>
  <si>
    <t>Vendas de Bens Correntes</t>
  </si>
  <si>
    <t>Publicações e impressos</t>
  </si>
  <si>
    <t>Taxa de Prestação de serviços</t>
  </si>
  <si>
    <t>Prestação de Serviços</t>
  </si>
  <si>
    <t>Taxa de Serviços Agrícolas e Pecuários</t>
  </si>
  <si>
    <t>Taxa de Serviços de Comércio</t>
  </si>
  <si>
    <t>Taxa de Exploração de Água</t>
  </si>
  <si>
    <t>Taxa de Serviços de Secretaría</t>
  </si>
  <si>
    <t>Taxa de Licenças de Loteamento, De Execução de obras de Particulares, da Utilização da via Pública por motivos de obras e de utilização de edifícios</t>
  </si>
  <si>
    <t>Taxa de construção, manutenção ou reforço de infraestruturas urbanísticas e de saneamento</t>
  </si>
  <si>
    <t xml:space="preserve">Taxa de ocupação do domínio público e aproveitamento dos bens de utilização </t>
  </si>
  <si>
    <t>Taxa de ocupação e utilização de locais reservados nos mercados e feiras</t>
  </si>
  <si>
    <t>Taxa de aferiação de pesos, medidas e aparelhos de mediçaõ</t>
  </si>
  <si>
    <t>Taxa de serviços de publicidade com fins comerciais</t>
  </si>
  <si>
    <t>Taxa de autorização de vendas ambulante nas vias e recintos públicos</t>
  </si>
  <si>
    <t>Taxa de Serviço de enterramento, concessão de terrenos e uso de jazigos, de ossários e de outras instalações em cemitérios Municipais</t>
  </si>
  <si>
    <t>Taxa de registos e licenças de cães</t>
  </si>
  <si>
    <t xml:space="preserve">Taxa pela Utilização de Matadouros e talhos municipais </t>
  </si>
  <si>
    <t>Taxa pela Utilização de quaisquer instalação destinadas ao conforto,comodidade ou recreio publico</t>
  </si>
  <si>
    <t>Taxa de comparticipação dos proprietários de solos urbanos nos custos da urbanização</t>
  </si>
  <si>
    <t>Taxa pela comparticipação dos proprietários de imoveis em areas urbanizadas nos custos de conservação dos espaços publicos</t>
  </si>
  <si>
    <t>Taxa pela extracção de materiais inertes em explorações particulares a ceu aberto</t>
  </si>
  <si>
    <t>Taxa pela concessão de licenças de obras no solo e subsolo do dominio publico municipal</t>
  </si>
  <si>
    <t xml:space="preserve">Taxa pela ocupação ou utilização do solo,subsolo e espaço aereo de dominio publico municipal </t>
  </si>
  <si>
    <t>Taxa pelo aproveitamento dos bens de utilidade publica situados no solo,subsolo e espaço aereo do dominio publico municipal</t>
  </si>
  <si>
    <t>Taxa pela instalação de antenas parabolicas</t>
  </si>
  <si>
    <t>Taxa pela instalação de antenas de operadores de telecomunicações moveis</t>
  </si>
  <si>
    <t>Taxa pela prestação de serviços ao publico por unidade orgânicas,funcionarios ou agentes municipais</t>
  </si>
  <si>
    <t>Taxa pela conservação e tratamento de esgotos</t>
  </si>
  <si>
    <t>Taxa de serviço de licenciamento de alambiques</t>
  </si>
  <si>
    <t>Taxa pela emissão de outras licenças não previstas nas rubricas anteriores</t>
  </si>
  <si>
    <t>Emolumentos e custas</t>
  </si>
  <si>
    <t>Emolumentos judiciais</t>
  </si>
  <si>
    <t>Emolumentos pessoais</t>
  </si>
  <si>
    <t>Serviços Diversos</t>
  </si>
  <si>
    <t>Taxa de Relaxe</t>
  </si>
  <si>
    <t>Multa por infracções ao código de Posturas Municipais</t>
  </si>
  <si>
    <t>Juros de Mora</t>
  </si>
  <si>
    <t>Outras Receitas Diversas e não especificadas</t>
  </si>
  <si>
    <t>Reposições não Abatidas nos Pagamentos</t>
  </si>
  <si>
    <t xml:space="preserve"> ACTIVOS NÃO FINANCEIROS</t>
  </si>
  <si>
    <t>03.01.01.01.01.01.02 Vendas de Residências civis</t>
  </si>
  <si>
    <t>03.01.01.02.04.02 Vendas de outras maquinarias e equipamentos</t>
  </si>
  <si>
    <t>Sobre vendas</t>
  </si>
  <si>
    <t>Orçamento 2023</t>
  </si>
  <si>
    <t>+144000+81000</t>
  </si>
  <si>
    <t>Calheta de São Miguel, 30 de outubro de 2022</t>
  </si>
  <si>
    <t>Orçamento 2024</t>
  </si>
  <si>
    <t>Orçamento  2024</t>
  </si>
  <si>
    <t>Requalificação urbana e ambiental de Achada Bolanha</t>
  </si>
  <si>
    <t>AMORTIZAÇÃO PARA O ANO 2024</t>
  </si>
  <si>
    <t>Subsídios permanentes (subsidios por trab a mais)</t>
  </si>
  <si>
    <t>Calheta de São Miguel, 30 de setembro de 2023.</t>
  </si>
  <si>
    <t xml:space="preserve">Criação e manutenção de espaços verdes </t>
  </si>
  <si>
    <t>promocao turistica e feiras</t>
  </si>
  <si>
    <r>
      <t xml:space="preserve">Criação e Manutenção de parques infantis e Espaços </t>
    </r>
    <r>
      <rPr>
        <i/>
        <sz val="12"/>
        <color theme="1"/>
        <rFont val="Times New Roman"/>
        <family val="1"/>
      </rPr>
      <t>Fitness Park</t>
    </r>
  </si>
  <si>
    <t xml:space="preserve">Plano de emergencia época das chuvas </t>
  </si>
  <si>
    <t>Construção de rede de adução, reservatórios e  implementacão de rega gota-a-gota na Ribeira de Flamengos</t>
  </si>
  <si>
    <t xml:space="preserve">Projeto São Miguel On </t>
  </si>
  <si>
    <t xml:space="preserve">Promoçao e inclusão social </t>
  </si>
  <si>
    <t>Feira das artes, delicias do mar, do milho e do agro-negócio</t>
  </si>
  <si>
    <t xml:space="preserve">Reforço do Saneamento Básico </t>
  </si>
  <si>
    <t>Ligações domiciliarias em Jaquetão e Ribeira de Flamengos</t>
  </si>
  <si>
    <t>Requalificação urbana e ambiental de Veneza</t>
  </si>
  <si>
    <t>Reabilitações e asfaltagem da  estrada de Variante Pilão Cão a Ponta Talho</t>
  </si>
  <si>
    <t>Arrelvamento do campo de Achada Bolanha</t>
  </si>
  <si>
    <t>Requalificação urbana de Ponta Verde</t>
  </si>
  <si>
    <t>CC CAIXA fundo ambiente</t>
  </si>
  <si>
    <t>CC CAIXA fundo turismo</t>
  </si>
  <si>
    <t>Column1</t>
  </si>
  <si>
    <t>Column2</t>
  </si>
  <si>
    <t xml:space="preserve">Requalificação urbana e ambiental de Achada do Monte </t>
  </si>
  <si>
    <t>Construção da estrutura metálica para cobertura do polidesportivo de Calheta</t>
  </si>
  <si>
    <t>Requalificação urbana e ambiental de  Achada Monte</t>
  </si>
  <si>
    <t>Calheta de São Miguel, 15 de novembro de 2023</t>
  </si>
  <si>
    <t>Calheta de São Miguel,15 de novembro de 2023.</t>
  </si>
  <si>
    <t>Calheta de São Miguel, 15 de novembro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</si>
</sst>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.00_);_(* \(#,##0.00\);_(* &quot;-&quot;??_);_(@_)"/>
    <numFmt numFmtId="167" formatCode="#,##0.0"/>
    <numFmt numFmtId="168" formatCode="#,##0_ ;\-#,##0\ "/>
    <numFmt numFmtId="169" formatCode="_-* #,##0.00\ _E_s_c_._-;\-* #,##0.00\ _E_s_c_._-;_-* &quot;-&quot;??\ _E_s_c_._-;_-@_-"/>
    <numFmt numFmtId="170" formatCode="#,##0.00;[Red]#,##0.00"/>
    <numFmt numFmtId="171" formatCode="_-* #,##0.0\ _€_-;\-* #,##0.0\ _€_-;_-* &quot;-&quot;??\ _€_-;_-@_-"/>
    <numFmt numFmtId="172" formatCode="&quot;$&quot;#,##0.00"/>
  </numFmts>
  <fonts count="8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2060"/>
      <name val="Times New Roman"/>
      <family val="1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rgb="FF002060"/>
      <name val="Times New Roman"/>
      <family val="1"/>
    </font>
    <font>
      <b/>
      <u/>
      <sz val="12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Arial Narrow"/>
      <family val="2"/>
    </font>
    <font>
      <b/>
      <u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2"/>
      <color indexed="8"/>
      <name val="Calibri"/>
      <family val="2"/>
      <scheme val="minor"/>
    </font>
    <font>
      <sz val="9"/>
      <color indexed="10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sz val="12"/>
      <name val="Courier"/>
      <family val="3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color rgb="FF015697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160740989410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 tint="-0.24991607409894101"/>
      </left>
      <right/>
      <top style="thick">
        <color theme="0" tint="-0.24991607409894101"/>
      </top>
      <bottom style="thick">
        <color theme="0" tint="-0.24991607409894101"/>
      </bottom>
      <diagonal/>
    </border>
    <border>
      <left/>
      <right style="thick">
        <color theme="0" tint="-0.24991607409894101"/>
      </right>
      <top style="thick">
        <color theme="0" tint="-0.24991607409894101"/>
      </top>
      <bottom style="thick">
        <color theme="0" tint="-0.24991607409894101"/>
      </bottom>
      <diagonal/>
    </border>
    <border>
      <left/>
      <right/>
      <top style="thick">
        <color theme="0" tint="-0.24991607409894101"/>
      </top>
      <bottom style="thick">
        <color theme="0" tint="-0.249916074098941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B8D0E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2" fillId="0" borderId="0"/>
    <xf numFmtId="165" fontId="2" fillId="0" borderId="0" applyFill="0" applyBorder="0" applyAlignment="0" applyProtection="0"/>
    <xf numFmtId="9" fontId="2" fillId="0" borderId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0" fontId="42" fillId="0" borderId="0"/>
    <xf numFmtId="43" fontId="87" fillId="0" borderId="0" applyFont="0" applyFill="0" applyBorder="0" applyAlignment="0" applyProtection="0"/>
  </cellStyleXfs>
  <cellXfs count="749">
    <xf numFmtId="0" fontId="0" fillId="0" borderId="0" xfId="0"/>
    <xf numFmtId="0" fontId="4" fillId="2" borderId="0" xfId="1" applyFont="1" applyFill="1"/>
    <xf numFmtId="165" fontId="4" fillId="2" borderId="0" xfId="2" applyFont="1" applyFill="1" applyAlignment="1"/>
    <xf numFmtId="9" fontId="5" fillId="2" borderId="0" xfId="3" applyFont="1" applyFill="1" applyAlignment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3" fillId="2" borderId="0" xfId="1" applyFont="1" applyFill="1"/>
    <xf numFmtId="165" fontId="5" fillId="2" borderId="0" xfId="1" applyNumberFormat="1" applyFont="1" applyFill="1"/>
    <xf numFmtId="0" fontId="7" fillId="2" borderId="0" xfId="1" applyFont="1" applyFill="1"/>
    <xf numFmtId="9" fontId="9" fillId="2" borderId="0" xfId="3" applyFont="1" applyFill="1" applyAlignment="1"/>
    <xf numFmtId="0" fontId="5" fillId="2" borderId="0" xfId="1" applyFont="1" applyFill="1" applyAlignment="1">
      <alignment wrapText="1"/>
    </xf>
    <xf numFmtId="0" fontId="10" fillId="2" borderId="0" xfId="1" applyFont="1" applyFill="1"/>
    <xf numFmtId="9" fontId="10" fillId="2" borderId="0" xfId="3" applyFont="1" applyFill="1" applyAlignment="1"/>
    <xf numFmtId="165" fontId="10" fillId="2" borderId="0" xfId="1" applyNumberFormat="1" applyFont="1" applyFill="1"/>
    <xf numFmtId="165" fontId="11" fillId="3" borderId="1" xfId="2" applyFont="1" applyFill="1" applyBorder="1" applyAlignment="1">
      <alignment horizontal="center" vertical="center" wrapText="1" shrinkToFit="1"/>
    </xf>
    <xf numFmtId="165" fontId="11" fillId="3" borderId="1" xfId="2" applyFont="1" applyFill="1" applyBorder="1" applyAlignment="1">
      <alignment horizontal="center" vertical="center"/>
    </xf>
    <xf numFmtId="0" fontId="12" fillId="2" borderId="0" xfId="1" applyFont="1" applyFill="1"/>
    <xf numFmtId="165" fontId="12" fillId="2" borderId="2" xfId="2" applyFont="1" applyFill="1" applyBorder="1" applyAlignment="1">
      <alignment horizontal="center" vertical="center" wrapText="1" shrinkToFit="1"/>
    </xf>
    <xf numFmtId="165" fontId="12" fillId="2" borderId="2" xfId="2" applyFont="1" applyFill="1" applyBorder="1" applyAlignment="1">
      <alignment horizontal="center" vertical="center"/>
    </xf>
    <xf numFmtId="167" fontId="13" fillId="2" borderId="0" xfId="1" applyNumberFormat="1" applyFont="1" applyFill="1"/>
    <xf numFmtId="0" fontId="13" fillId="2" borderId="0" xfId="1" applyFont="1" applyFill="1"/>
    <xf numFmtId="0" fontId="14" fillId="4" borderId="3" xfId="1" applyFont="1" applyFill="1" applyBorder="1" applyAlignment="1">
      <alignment vertical="center"/>
    </xf>
    <xf numFmtId="0" fontId="11" fillId="4" borderId="4" xfId="1" applyFont="1" applyFill="1" applyBorder="1"/>
    <xf numFmtId="165" fontId="14" fillId="4" borderId="1" xfId="1" applyNumberFormat="1" applyFont="1" applyFill="1" applyBorder="1"/>
    <xf numFmtId="165" fontId="5" fillId="2" borderId="0" xfId="3" applyNumberFormat="1" applyFont="1" applyFill="1" applyAlignment="1"/>
    <xf numFmtId="0" fontId="5" fillId="5" borderId="0" xfId="1" applyFont="1" applyFill="1"/>
    <xf numFmtId="0" fontId="15" fillId="5" borderId="5" xfId="1" applyFont="1" applyFill="1" applyBorder="1" applyAlignment="1">
      <alignment vertical="center"/>
    </xf>
    <xf numFmtId="0" fontId="12" fillId="5" borderId="5" xfId="1" applyFont="1" applyFill="1" applyBorder="1"/>
    <xf numFmtId="165" fontId="15" fillId="5" borderId="0" xfId="1" applyNumberFormat="1" applyFont="1" applyFill="1"/>
    <xf numFmtId="165" fontId="12" fillId="5" borderId="0" xfId="1" applyNumberFormat="1" applyFont="1" applyFill="1"/>
    <xf numFmtId="0" fontId="4" fillId="2" borderId="6" xfId="1" applyFont="1" applyFill="1" applyBorder="1" applyAlignment="1">
      <alignment vertical="center"/>
    </xf>
    <xf numFmtId="165" fontId="4" fillId="2" borderId="0" xfId="1" applyNumberFormat="1" applyFont="1" applyFill="1"/>
    <xf numFmtId="0" fontId="4" fillId="5" borderId="0" xfId="1" applyFont="1" applyFill="1"/>
    <xf numFmtId="0" fontId="11" fillId="6" borderId="1" xfId="1" applyFont="1" applyFill="1" applyBorder="1" applyAlignment="1">
      <alignment vertical="center"/>
    </xf>
    <xf numFmtId="0" fontId="11" fillId="6" borderId="1" xfId="1" applyFont="1" applyFill="1" applyBorder="1" applyAlignment="1">
      <alignment wrapText="1"/>
    </xf>
    <xf numFmtId="165" fontId="11" fillId="6" borderId="1" xfId="1" applyNumberFormat="1" applyFont="1" applyFill="1" applyBorder="1"/>
    <xf numFmtId="0" fontId="16" fillId="2" borderId="0" xfId="1" applyFont="1" applyFill="1"/>
    <xf numFmtId="0" fontId="17" fillId="2" borderId="6" xfId="1" applyFont="1" applyFill="1" applyBorder="1" applyAlignment="1">
      <alignment vertical="center"/>
    </xf>
    <xf numFmtId="0" fontId="17" fillId="2" borderId="7" xfId="1" applyFont="1" applyFill="1" applyBorder="1" applyAlignment="1">
      <alignment vertical="center"/>
    </xf>
    <xf numFmtId="0" fontId="17" fillId="2" borderId="0" xfId="1" applyFont="1" applyFill="1"/>
    <xf numFmtId="165" fontId="17" fillId="2" borderId="0" xfId="2" applyFont="1" applyFill="1" applyAlignment="1"/>
    <xf numFmtId="0" fontId="17" fillId="2" borderId="8" xfId="1" applyFont="1" applyFill="1" applyBorder="1" applyAlignment="1">
      <alignment vertical="center"/>
    </xf>
    <xf numFmtId="0" fontId="16" fillId="5" borderId="0" xfId="1" applyFont="1" applyFill="1"/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wrapText="1"/>
    </xf>
    <xf numFmtId="165" fontId="11" fillId="2" borderId="1" xfId="2" applyFont="1" applyFill="1" applyBorder="1" applyAlignment="1"/>
    <xf numFmtId="165" fontId="11" fillId="2" borderId="1" xfId="1" applyNumberFormat="1" applyFont="1" applyFill="1" applyBorder="1"/>
    <xf numFmtId="0" fontId="18" fillId="2" borderId="2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wrapText="1"/>
    </xf>
    <xf numFmtId="165" fontId="12" fillId="2" borderId="1" xfId="2" applyFont="1" applyFill="1" applyBorder="1" applyAlignment="1"/>
    <xf numFmtId="165" fontId="12" fillId="0" borderId="1" xfId="2" applyFont="1" applyFill="1" applyBorder="1" applyAlignment="1"/>
    <xf numFmtId="165" fontId="12" fillId="2" borderId="1" xfId="1" applyNumberFormat="1" applyFont="1" applyFill="1" applyBorder="1"/>
    <xf numFmtId="0" fontId="4" fillId="2" borderId="8" xfId="1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wrapText="1"/>
    </xf>
    <xf numFmtId="165" fontId="11" fillId="0" borderId="1" xfId="2" applyFont="1" applyFill="1" applyBorder="1" applyAlignment="1"/>
    <xf numFmtId="0" fontId="17" fillId="2" borderId="2" xfId="1" applyFont="1" applyFill="1" applyBorder="1" applyAlignment="1">
      <alignment vertical="center"/>
    </xf>
    <xf numFmtId="165" fontId="17" fillId="2" borderId="0" xfId="1" applyNumberFormat="1" applyFont="1" applyFill="1"/>
    <xf numFmtId="9" fontId="16" fillId="2" borderId="0" xfId="3" applyFont="1" applyFill="1" applyAlignment="1"/>
    <xf numFmtId="165" fontId="16" fillId="2" borderId="0" xfId="1" applyNumberFormat="1" applyFont="1" applyFill="1"/>
    <xf numFmtId="0" fontId="4" fillId="2" borderId="2" xfId="1" applyFont="1" applyFill="1" applyBorder="1" applyAlignment="1">
      <alignment vertical="center"/>
    </xf>
    <xf numFmtId="165" fontId="5" fillId="2" borderId="0" xfId="2" applyFont="1" applyFill="1" applyAlignment="1"/>
    <xf numFmtId="0" fontId="11" fillId="2" borderId="1" xfId="1" applyFont="1" applyFill="1" applyBorder="1"/>
    <xf numFmtId="0" fontId="12" fillId="2" borderId="1" xfId="1" applyFont="1" applyFill="1" applyBorder="1"/>
    <xf numFmtId="0" fontId="18" fillId="2" borderId="8" xfId="1" applyFont="1" applyFill="1" applyBorder="1" applyAlignment="1">
      <alignment vertical="center"/>
    </xf>
    <xf numFmtId="165" fontId="12" fillId="0" borderId="1" xfId="1" applyNumberFormat="1" applyFont="1" applyBorder="1"/>
    <xf numFmtId="0" fontId="19" fillId="2" borderId="8" xfId="1" applyFont="1" applyFill="1" applyBorder="1" applyAlignment="1">
      <alignment vertical="center"/>
    </xf>
    <xf numFmtId="165" fontId="2" fillId="2" borderId="0" xfId="2" applyFill="1" applyAlignment="1"/>
    <xf numFmtId="165" fontId="16" fillId="2" borderId="0" xfId="3" applyNumberFormat="1" applyFont="1" applyFill="1" applyAlignment="1"/>
    <xf numFmtId="0" fontId="2" fillId="0" borderId="0" xfId="1"/>
    <xf numFmtId="0" fontId="12" fillId="2" borderId="1" xfId="1" applyFont="1" applyFill="1" applyBorder="1" applyAlignment="1">
      <alignment vertical="center" wrapText="1"/>
    </xf>
    <xf numFmtId="165" fontId="12" fillId="2" borderId="1" xfId="2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wrapText="1"/>
    </xf>
    <xf numFmtId="165" fontId="12" fillId="2" borderId="1" xfId="2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wrapText="1"/>
    </xf>
    <xf numFmtId="0" fontId="12" fillId="2" borderId="2" xfId="1" applyFont="1" applyFill="1" applyBorder="1" applyAlignment="1">
      <alignment vertical="center"/>
    </xf>
    <xf numFmtId="0" fontId="12" fillId="2" borderId="2" xfId="1" applyFont="1" applyFill="1" applyBorder="1" applyAlignment="1">
      <alignment wrapText="1"/>
    </xf>
    <xf numFmtId="165" fontId="12" fillId="2" borderId="9" xfId="2" applyFont="1" applyFill="1" applyBorder="1" applyAlignment="1"/>
    <xf numFmtId="0" fontId="21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2" fillId="0" borderId="0" xfId="1" applyFont="1"/>
    <xf numFmtId="0" fontId="20" fillId="0" borderId="0" xfId="1" applyFont="1" applyAlignment="1">
      <alignment vertical="top"/>
    </xf>
    <xf numFmtId="0" fontId="12" fillId="2" borderId="2" xfId="1" applyFont="1" applyFill="1" applyBorder="1"/>
    <xf numFmtId="165" fontId="12" fillId="2" borderId="2" xfId="2" applyFont="1" applyFill="1" applyBorder="1" applyAlignment="1"/>
    <xf numFmtId="0" fontId="12" fillId="2" borderId="7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/>
    <xf numFmtId="165" fontId="5" fillId="2" borderId="2" xfId="2" applyFont="1" applyFill="1" applyBorder="1" applyAlignment="1"/>
    <xf numFmtId="0" fontId="5" fillId="2" borderId="7" xfId="1" applyFont="1" applyFill="1" applyBorder="1" applyAlignment="1">
      <alignment vertical="center"/>
    </xf>
    <xf numFmtId="0" fontId="27" fillId="0" borderId="0" xfId="4" applyFont="1"/>
    <xf numFmtId="165" fontId="2" fillId="0" borderId="0" xfId="2" applyFill="1" applyAlignment="1"/>
    <xf numFmtId="0" fontId="27" fillId="0" borderId="10" xfId="4" applyFont="1" applyBorder="1"/>
    <xf numFmtId="0" fontId="28" fillId="0" borderId="0" xfId="1" applyFont="1" applyAlignment="1">
      <alignment horizontal="center" vertical="center" wrapText="1"/>
    </xf>
    <xf numFmtId="168" fontId="28" fillId="0" borderId="0" xfId="1" applyNumberFormat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3" fontId="28" fillId="0" borderId="0" xfId="4" applyNumberFormat="1" applyFont="1"/>
    <xf numFmtId="0" fontId="30" fillId="0" borderId="0" xfId="1" applyFont="1" applyAlignment="1">
      <alignment vertical="center"/>
    </xf>
    <xf numFmtId="169" fontId="30" fillId="7" borderId="1" xfId="5" applyFont="1" applyFill="1" applyBorder="1" applyAlignment="1">
      <alignment horizontal="center" vertical="center" wrapText="1"/>
    </xf>
    <xf numFmtId="1" fontId="30" fillId="3" borderId="1" xfId="4" applyNumberFormat="1" applyFont="1" applyFill="1" applyBorder="1" applyAlignment="1">
      <alignment vertical="center"/>
    </xf>
    <xf numFmtId="0" fontId="30" fillId="3" borderId="1" xfId="4" applyFont="1" applyFill="1" applyBorder="1" applyAlignment="1">
      <alignment horizontal="left" vertical="center"/>
    </xf>
    <xf numFmtId="168" fontId="30" fillId="3" borderId="1" xfId="5" applyNumberFormat="1" applyFont="1" applyFill="1" applyBorder="1" applyAlignment="1">
      <alignment vertical="center"/>
    </xf>
    <xf numFmtId="9" fontId="30" fillId="3" borderId="1" xfId="3" applyFont="1" applyFill="1" applyBorder="1" applyAlignment="1">
      <alignment vertical="center"/>
    </xf>
    <xf numFmtId="0" fontId="28" fillId="0" borderId="0" xfId="4" applyFont="1"/>
    <xf numFmtId="0" fontId="33" fillId="0" borderId="0" xfId="1" applyFont="1"/>
    <xf numFmtId="0" fontId="34" fillId="0" borderId="0" xfId="4" applyFont="1" applyAlignment="1">
      <alignment vertical="center"/>
    </xf>
    <xf numFmtId="1" fontId="30" fillId="8" borderId="1" xfId="4" applyNumberFormat="1" applyFont="1" applyFill="1" applyBorder="1" applyAlignment="1">
      <alignment vertical="center"/>
    </xf>
    <xf numFmtId="0" fontId="30" fillId="8" borderId="1" xfId="4" applyFont="1" applyFill="1" applyBorder="1" applyAlignment="1">
      <alignment horizontal="left" vertical="center"/>
    </xf>
    <xf numFmtId="3" fontId="30" fillId="8" borderId="1" xfId="5" applyNumberFormat="1" applyFont="1" applyFill="1" applyBorder="1" applyAlignment="1">
      <alignment vertical="center"/>
    </xf>
    <xf numFmtId="10" fontId="30" fillId="8" borderId="1" xfId="4" applyNumberFormat="1" applyFont="1" applyFill="1" applyBorder="1" applyAlignment="1">
      <alignment vertical="center"/>
    </xf>
    <xf numFmtId="0" fontId="20" fillId="0" borderId="0" xfId="4" applyFont="1" applyAlignment="1">
      <alignment vertical="center"/>
    </xf>
    <xf numFmtId="3" fontId="30" fillId="9" borderId="1" xfId="4" applyNumberFormat="1" applyFont="1" applyFill="1" applyBorder="1" applyAlignment="1">
      <alignment horizontal="left" vertical="center"/>
    </xf>
    <xf numFmtId="3" fontId="30" fillId="9" borderId="1" xfId="4" applyNumberFormat="1" applyFont="1" applyFill="1" applyBorder="1" applyAlignment="1">
      <alignment horizontal="left" vertical="center" wrapText="1"/>
    </xf>
    <xf numFmtId="3" fontId="30" fillId="9" borderId="1" xfId="5" applyNumberFormat="1" applyFont="1" applyFill="1" applyBorder="1" applyAlignment="1">
      <alignment horizontal="right" vertical="center"/>
    </xf>
    <xf numFmtId="10" fontId="30" fillId="4" borderId="1" xfId="3" applyNumberFormat="1" applyFont="1" applyFill="1" applyBorder="1" applyAlignment="1">
      <alignment horizontal="right" vertical="center"/>
    </xf>
    <xf numFmtId="0" fontId="34" fillId="0" borderId="0" xfId="4" applyFont="1"/>
    <xf numFmtId="3" fontId="30" fillId="10" borderId="1" xfId="4" applyNumberFormat="1" applyFont="1" applyFill="1" applyBorder="1" applyAlignment="1">
      <alignment horizontal="left" vertical="center"/>
    </xf>
    <xf numFmtId="3" fontId="30" fillId="10" borderId="1" xfId="5" applyNumberFormat="1" applyFont="1" applyFill="1" applyBorder="1" applyAlignment="1">
      <alignment horizontal="right" vertical="center"/>
    </xf>
    <xf numFmtId="10" fontId="30" fillId="10" borderId="1" xfId="3" applyNumberFormat="1" applyFont="1" applyFill="1" applyBorder="1" applyAlignment="1">
      <alignment horizontal="right" vertical="center"/>
    </xf>
    <xf numFmtId="3" fontId="31" fillId="0" borderId="1" xfId="4" applyNumberFormat="1" applyFont="1" applyBorder="1" applyAlignment="1">
      <alignment horizontal="left" vertical="center"/>
    </xf>
    <xf numFmtId="3" fontId="31" fillId="0" borderId="1" xfId="5" applyNumberFormat="1" applyFont="1" applyFill="1" applyBorder="1" applyAlignment="1">
      <alignment horizontal="right" vertical="center"/>
    </xf>
    <xf numFmtId="3" fontId="31" fillId="0" borderId="1" xfId="5" applyNumberFormat="1" applyFont="1" applyFill="1" applyBorder="1" applyAlignment="1">
      <alignment vertical="center"/>
    </xf>
    <xf numFmtId="10" fontId="31" fillId="0" borderId="1" xfId="3" applyNumberFormat="1" applyFont="1" applyFill="1" applyBorder="1" applyAlignment="1">
      <alignment vertical="center"/>
    </xf>
    <xf numFmtId="165" fontId="2" fillId="11" borderId="0" xfId="1" applyNumberFormat="1" applyFill="1"/>
    <xf numFmtId="165" fontId="2" fillId="0" borderId="0" xfId="1" applyNumberFormat="1"/>
    <xf numFmtId="3" fontId="31" fillId="12" borderId="1" xfId="5" applyNumberFormat="1" applyFont="1" applyFill="1" applyBorder="1" applyAlignment="1">
      <alignment horizontal="right" vertical="center"/>
    </xf>
    <xf numFmtId="165" fontId="2" fillId="0" borderId="0" xfId="2" applyAlignment="1"/>
    <xf numFmtId="10" fontId="31" fillId="0" borderId="1" xfId="3" applyNumberFormat="1" applyFont="1" applyFill="1" applyBorder="1" applyAlignment="1">
      <alignment horizontal="right" vertical="center"/>
    </xf>
    <xf numFmtId="3" fontId="30" fillId="0" borderId="1" xfId="4" applyNumberFormat="1" applyFont="1" applyBorder="1" applyAlignment="1">
      <alignment horizontal="left" vertical="center"/>
    </xf>
    <xf numFmtId="3" fontId="30" fillId="0" borderId="1" xfId="4" applyNumberFormat="1" applyFont="1" applyBorder="1" applyAlignment="1">
      <alignment vertical="center" wrapText="1"/>
    </xf>
    <xf numFmtId="3" fontId="30" fillId="0" borderId="1" xfId="5" applyNumberFormat="1" applyFont="1" applyFill="1" applyBorder="1" applyAlignment="1">
      <alignment horizontal="right" vertical="center"/>
    </xf>
    <xf numFmtId="10" fontId="30" fillId="0" borderId="1" xfId="3" applyNumberFormat="1" applyFont="1" applyFill="1" applyBorder="1" applyAlignment="1">
      <alignment horizontal="right" vertical="center"/>
    </xf>
    <xf numFmtId="3" fontId="31" fillId="0" borderId="1" xfId="4" applyNumberFormat="1" applyFont="1" applyBorder="1" applyAlignment="1">
      <alignment horizontal="left" vertical="center" wrapText="1"/>
    </xf>
    <xf numFmtId="3" fontId="30" fillId="8" borderId="1" xfId="4" applyNumberFormat="1" applyFont="1" applyFill="1" applyBorder="1" applyAlignment="1">
      <alignment vertical="center"/>
    </xf>
    <xf numFmtId="3" fontId="30" fillId="8" borderId="1" xfId="5" applyNumberFormat="1" applyFont="1" applyFill="1" applyBorder="1" applyAlignment="1">
      <alignment horizontal="right" vertical="center"/>
    </xf>
    <xf numFmtId="3" fontId="30" fillId="4" borderId="1" xfId="4" applyNumberFormat="1" applyFont="1" applyFill="1" applyBorder="1" applyAlignment="1">
      <alignment horizontal="left" vertical="center"/>
    </xf>
    <xf numFmtId="3" fontId="30" fillId="4" borderId="1" xfId="5" applyNumberFormat="1" applyFont="1" applyFill="1" applyBorder="1" applyAlignment="1">
      <alignment horizontal="right" vertical="center"/>
    </xf>
    <xf numFmtId="169" fontId="27" fillId="0" borderId="0" xfId="5" applyFont="1" applyAlignment="1">
      <alignment horizontal="center"/>
    </xf>
    <xf numFmtId="169" fontId="27" fillId="0" borderId="0" xfId="5" applyFont="1" applyAlignment="1"/>
    <xf numFmtId="3" fontId="31" fillId="0" borderId="1" xfId="4" applyNumberFormat="1" applyFont="1" applyBorder="1" applyAlignment="1">
      <alignment horizontal="left"/>
    </xf>
    <xf numFmtId="3" fontId="31" fillId="0" borderId="1" xfId="5" applyNumberFormat="1" applyFont="1" applyFill="1" applyBorder="1" applyAlignment="1">
      <alignment horizontal="right"/>
    </xf>
    <xf numFmtId="0" fontId="27" fillId="0" borderId="0" xfId="4" applyFont="1" applyAlignment="1">
      <alignment vertical="center"/>
    </xf>
    <xf numFmtId="3" fontId="31" fillId="0" borderId="1" xfId="4" applyNumberFormat="1" applyFont="1" applyBorder="1" applyAlignment="1">
      <alignment horizontal="left" indent="2"/>
    </xf>
    <xf numFmtId="3" fontId="31" fillId="0" borderId="1" xfId="5" applyNumberFormat="1" applyFont="1" applyBorder="1" applyAlignment="1">
      <alignment horizontal="right"/>
    </xf>
    <xf numFmtId="3" fontId="30" fillId="0" borderId="1" xfId="5" applyNumberFormat="1" applyFont="1" applyFill="1" applyBorder="1" applyAlignment="1">
      <alignment vertical="center" readingOrder="1"/>
    </xf>
    <xf numFmtId="10" fontId="30" fillId="0" borderId="1" xfId="3" applyNumberFormat="1" applyFont="1" applyFill="1" applyBorder="1" applyAlignment="1">
      <alignment vertical="center" readingOrder="1"/>
    </xf>
    <xf numFmtId="3" fontId="31" fillId="0" borderId="1" xfId="4" applyNumberFormat="1" applyFont="1" applyBorder="1"/>
    <xf numFmtId="3" fontId="31" fillId="0" borderId="1" xfId="5" applyNumberFormat="1" applyFont="1" applyFill="1" applyBorder="1" applyAlignment="1">
      <alignment vertical="center" readingOrder="1"/>
    </xf>
    <xf numFmtId="3" fontId="30" fillId="13" borderId="1" xfId="4" applyNumberFormat="1" applyFont="1" applyFill="1" applyBorder="1" applyAlignment="1">
      <alignment vertical="center"/>
    </xf>
    <xf numFmtId="3" fontId="30" fillId="13" borderId="1" xfId="5" applyNumberFormat="1" applyFont="1" applyFill="1" applyBorder="1" applyAlignment="1">
      <alignment horizontal="right" vertical="center"/>
    </xf>
    <xf numFmtId="3" fontId="30" fillId="14" borderId="1" xfId="4" applyNumberFormat="1" applyFont="1" applyFill="1" applyBorder="1" applyAlignment="1">
      <alignment horizontal="left"/>
    </xf>
    <xf numFmtId="3" fontId="30" fillId="14" borderId="1" xfId="4" applyNumberFormat="1" applyFont="1" applyFill="1" applyBorder="1" applyAlignment="1">
      <alignment horizontal="left" indent="1"/>
    </xf>
    <xf numFmtId="3" fontId="30" fillId="14" borderId="1" xfId="5" applyNumberFormat="1" applyFont="1" applyFill="1" applyBorder="1" applyAlignment="1">
      <alignment horizontal="right"/>
    </xf>
    <xf numFmtId="3" fontId="30" fillId="0" borderId="1" xfId="5" applyNumberFormat="1" applyFont="1" applyFill="1" applyBorder="1" applyAlignment="1">
      <alignment horizontal="right"/>
    </xf>
    <xf numFmtId="3" fontId="30" fillId="0" borderId="1" xfId="4" applyNumberFormat="1" applyFont="1" applyBorder="1" applyAlignment="1">
      <alignment horizontal="left"/>
    </xf>
    <xf numFmtId="3" fontId="30" fillId="0" borderId="1" xfId="4" applyNumberFormat="1" applyFont="1" applyBorder="1" applyAlignment="1">
      <alignment horizontal="left" indent="1"/>
    </xf>
    <xf numFmtId="3" fontId="30" fillId="0" borderId="1" xfId="4" applyNumberFormat="1" applyFont="1" applyBorder="1"/>
    <xf numFmtId="10" fontId="30" fillId="0" borderId="1" xfId="3" applyNumberFormat="1" applyFont="1" applyFill="1" applyBorder="1" applyAlignment="1">
      <alignment vertical="center"/>
    </xf>
    <xf numFmtId="0" fontId="31" fillId="0" borderId="1" xfId="4" applyFont="1" applyBorder="1"/>
    <xf numFmtId="3" fontId="31" fillId="0" borderId="1" xfId="5" applyNumberFormat="1" applyFont="1" applyFill="1" applyBorder="1" applyAlignment="1">
      <alignment horizontal="center"/>
    </xf>
    <xf numFmtId="3" fontId="31" fillId="0" borderId="1" xfId="5" applyNumberFormat="1" applyFont="1" applyFill="1" applyBorder="1" applyAlignment="1"/>
    <xf numFmtId="0" fontId="30" fillId="0" borderId="1" xfId="4" applyFont="1" applyBorder="1" applyAlignment="1">
      <alignment horizontal="left"/>
    </xf>
    <xf numFmtId="3" fontId="30" fillId="0" borderId="1" xfId="4" applyNumberFormat="1" applyFont="1" applyBorder="1" applyAlignment="1">
      <alignment horizontal="right"/>
    </xf>
    <xf numFmtId="0" fontId="30" fillId="0" borderId="1" xfId="1" applyFont="1" applyBorder="1"/>
    <xf numFmtId="0" fontId="31" fillId="0" borderId="1" xfId="4" applyFont="1" applyBorder="1" applyAlignment="1">
      <alignment horizontal="left"/>
    </xf>
    <xf numFmtId="0" fontId="31" fillId="0" borderId="1" xfId="1" applyFont="1" applyBorder="1" applyAlignment="1">
      <alignment horizontal="left"/>
    </xf>
    <xf numFmtId="3" fontId="31" fillId="0" borderId="1" xfId="4" applyNumberFormat="1" applyFont="1" applyBorder="1" applyAlignment="1">
      <alignment horizontal="right"/>
    </xf>
    <xf numFmtId="0" fontId="36" fillId="0" borderId="0" xfId="4" applyFont="1"/>
    <xf numFmtId="3" fontId="31" fillId="0" borderId="1" xfId="4" applyNumberFormat="1" applyFont="1" applyBorder="1" applyAlignment="1">
      <alignment horizontal="left" indent="1"/>
    </xf>
    <xf numFmtId="3" fontId="31" fillId="0" borderId="1" xfId="4" applyNumberFormat="1" applyFont="1" applyBorder="1" applyAlignment="1">
      <alignment horizontal="left" wrapText="1"/>
    </xf>
    <xf numFmtId="3" fontId="30" fillId="0" borderId="1" xfId="4" applyNumberFormat="1" applyFont="1" applyBorder="1" applyAlignment="1">
      <alignment horizontal="left" wrapText="1" indent="1"/>
    </xf>
    <xf numFmtId="0" fontId="31" fillId="0" borderId="1" xfId="4" applyFont="1" applyBorder="1" applyAlignment="1">
      <alignment horizontal="left" wrapText="1"/>
    </xf>
    <xf numFmtId="3" fontId="30" fillId="12" borderId="1" xfId="4" applyNumberFormat="1" applyFont="1" applyFill="1" applyBorder="1"/>
    <xf numFmtId="3" fontId="31" fillId="12" borderId="1" xfId="4" applyNumberFormat="1" applyFont="1" applyFill="1" applyBorder="1"/>
    <xf numFmtId="0" fontId="27" fillId="0" borderId="0" xfId="4" applyFont="1" applyAlignment="1">
      <alignment horizontal="left"/>
    </xf>
    <xf numFmtId="3" fontId="21" fillId="0" borderId="0" xfId="4" applyNumberFormat="1" applyFont="1"/>
    <xf numFmtId="3" fontId="21" fillId="0" borderId="0" xfId="5" applyNumberFormat="1" applyFont="1" applyFill="1" applyBorder="1" applyAlignment="1">
      <alignment vertical="center" readingOrder="1"/>
    </xf>
    <xf numFmtId="10" fontId="21" fillId="0" borderId="0" xfId="3" applyNumberFormat="1" applyFont="1" applyFill="1" applyBorder="1" applyAlignment="1">
      <alignment vertical="center"/>
    </xf>
    <xf numFmtId="14" fontId="27" fillId="0" borderId="0" xfId="2" applyNumberFormat="1" applyFont="1" applyFill="1" applyAlignment="1">
      <alignment vertical="center"/>
    </xf>
    <xf numFmtId="3" fontId="21" fillId="0" borderId="0" xfId="1" applyNumberFormat="1" applyFont="1" applyAlignment="1">
      <alignment vertical="center"/>
    </xf>
    <xf numFmtId="165" fontId="22" fillId="0" borderId="0" xfId="2" applyFont="1" applyFill="1" applyAlignment="1">
      <alignment vertical="center"/>
    </xf>
    <xf numFmtId="0" fontId="21" fillId="0" borderId="0" xfId="1" applyFont="1"/>
    <xf numFmtId="0" fontId="21" fillId="0" borderId="0" xfId="1" applyFont="1" applyAlignment="1">
      <alignment vertical="top"/>
    </xf>
    <xf numFmtId="169" fontId="21" fillId="0" borderId="0" xfId="5" applyFont="1" applyAlignment="1">
      <alignment horizontal="center"/>
    </xf>
    <xf numFmtId="169" fontId="21" fillId="0" borderId="0" xfId="5" applyFont="1" applyAlignment="1"/>
    <xf numFmtId="169" fontId="21" fillId="0" borderId="0" xfId="5" applyFont="1" applyFill="1" applyAlignment="1">
      <alignment horizontal="center"/>
    </xf>
    <xf numFmtId="169" fontId="22" fillId="0" borderId="0" xfId="5" applyFont="1" applyFill="1" applyAlignment="1">
      <alignment horizontal="center"/>
    </xf>
    <xf numFmtId="169" fontId="21" fillId="0" borderId="0" xfId="5" applyFont="1" applyFill="1" applyAlignment="1"/>
    <xf numFmtId="0" fontId="21" fillId="0" borderId="0" xfId="4" applyFont="1"/>
    <xf numFmtId="169" fontId="27" fillId="0" borderId="0" xfId="5" applyFont="1" applyFill="1" applyAlignment="1">
      <alignment horizontal="right"/>
    </xf>
    <xf numFmtId="169" fontId="27" fillId="0" borderId="0" xfId="5" applyFont="1" applyFill="1" applyAlignment="1"/>
    <xf numFmtId="0" fontId="20" fillId="0" borderId="0" xfId="1" applyFont="1" applyAlignment="1">
      <alignment horizontal="right"/>
    </xf>
    <xf numFmtId="165" fontId="2" fillId="0" borderId="0" xfId="2" applyBorder="1" applyAlignment="1">
      <alignment horizontal="center"/>
    </xf>
    <xf numFmtId="0" fontId="27" fillId="0" borderId="0" xfId="1" applyFont="1"/>
    <xf numFmtId="0" fontId="37" fillId="0" borderId="0" xfId="1" applyFont="1" applyAlignment="1">
      <alignment vertical="center" wrapText="1"/>
    </xf>
    <xf numFmtId="0" fontId="38" fillId="0" borderId="0" xfId="1" applyFont="1" applyAlignment="1">
      <alignment vertical="top" wrapText="1"/>
    </xf>
    <xf numFmtId="3" fontId="27" fillId="0" borderId="0" xfId="1" applyNumberFormat="1" applyFont="1"/>
    <xf numFmtId="0" fontId="34" fillId="0" borderId="0" xfId="1" applyFont="1" applyAlignment="1">
      <alignment vertical="center"/>
    </xf>
    <xf numFmtId="0" fontId="34" fillId="15" borderId="1" xfId="1" applyFont="1" applyFill="1" applyBorder="1" applyAlignment="1">
      <alignment vertical="center" wrapText="1"/>
    </xf>
    <xf numFmtId="0" fontId="34" fillId="15" borderId="1" xfId="1" applyFont="1" applyFill="1" applyBorder="1" applyAlignment="1">
      <alignment vertical="center"/>
    </xf>
    <xf numFmtId="165" fontId="2" fillId="15" borderId="1" xfId="2" applyFill="1" applyBorder="1" applyAlignment="1">
      <alignment vertical="center"/>
    </xf>
    <xf numFmtId="0" fontId="34" fillId="15" borderId="11" xfId="1" applyFont="1" applyFill="1" applyBorder="1" applyAlignment="1">
      <alignment vertical="center" wrapText="1"/>
    </xf>
    <xf numFmtId="165" fontId="2" fillId="15" borderId="1" xfId="2" applyFill="1" applyBorder="1" applyAlignment="1">
      <alignment horizontal="center" vertical="center" wrapText="1"/>
    </xf>
    <xf numFmtId="165" fontId="2" fillId="15" borderId="1" xfId="2" applyFill="1" applyBorder="1" applyAlignment="1">
      <alignment horizontal="center" vertical="center"/>
    </xf>
    <xf numFmtId="0" fontId="34" fillId="15" borderId="12" xfId="1" applyFont="1" applyFill="1" applyBorder="1" applyAlignment="1">
      <alignment vertical="center" wrapText="1"/>
    </xf>
    <xf numFmtId="3" fontId="30" fillId="4" borderId="1" xfId="1" applyNumberFormat="1" applyFont="1" applyFill="1" applyBorder="1" applyAlignment="1">
      <alignment vertical="center"/>
    </xf>
    <xf numFmtId="165" fontId="2" fillId="4" borderId="1" xfId="2" applyFill="1" applyBorder="1" applyAlignment="1">
      <alignment horizontal="center" vertical="center"/>
    </xf>
    <xf numFmtId="9" fontId="34" fillId="4" borderId="1" xfId="3" applyFont="1" applyFill="1" applyBorder="1" applyAlignment="1">
      <alignment horizontal="right" vertical="center"/>
    </xf>
    <xf numFmtId="165" fontId="27" fillId="0" borderId="0" xfId="1" applyNumberFormat="1" applyFont="1"/>
    <xf numFmtId="1" fontId="34" fillId="6" borderId="1" xfId="1" applyNumberFormat="1" applyFont="1" applyFill="1" applyBorder="1" applyAlignment="1">
      <alignment vertical="center"/>
    </xf>
    <xf numFmtId="1" fontId="34" fillId="6" borderId="1" xfId="1" applyNumberFormat="1" applyFont="1" applyFill="1" applyBorder="1" applyAlignment="1">
      <alignment horizontal="right" vertical="center"/>
    </xf>
    <xf numFmtId="1" fontId="34" fillId="6" borderId="1" xfId="1" applyNumberFormat="1" applyFont="1" applyFill="1" applyBorder="1" applyAlignment="1">
      <alignment vertical="center" wrapText="1"/>
    </xf>
    <xf numFmtId="165" fontId="2" fillId="6" borderId="1" xfId="2" applyFill="1" applyBorder="1" applyAlignment="1">
      <alignment horizontal="center" vertical="center"/>
    </xf>
    <xf numFmtId="10" fontId="34" fillId="6" borderId="1" xfId="1" applyNumberFormat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165" fontId="27" fillId="0" borderId="0" xfId="1" applyNumberFormat="1" applyFont="1" applyAlignment="1">
      <alignment vertical="center"/>
    </xf>
    <xf numFmtId="1" fontId="20" fillId="0" borderId="1" xfId="1" applyNumberFormat="1" applyFont="1" applyBorder="1"/>
    <xf numFmtId="1" fontId="39" fillId="0" borderId="1" xfId="1" applyNumberFormat="1" applyFont="1" applyBorder="1" applyAlignment="1">
      <alignment horizontal="right"/>
    </xf>
    <xf numFmtId="3" fontId="34" fillId="0" borderId="1" xfId="1" applyNumberFormat="1" applyFont="1" applyBorder="1" applyAlignment="1">
      <alignment horizontal="left" wrapText="1"/>
    </xf>
    <xf numFmtId="165" fontId="2" fillId="0" borderId="1" xfId="2" applyBorder="1" applyAlignment="1"/>
    <xf numFmtId="165" fontId="2" fillId="0" borderId="1" xfId="2" applyBorder="1" applyAlignment="1">
      <alignment horizontal="center"/>
    </xf>
    <xf numFmtId="10" fontId="34" fillId="0" borderId="1" xfId="1" applyNumberFormat="1" applyFont="1" applyBorder="1"/>
    <xf numFmtId="0" fontId="28" fillId="0" borderId="0" xfId="1" applyFont="1"/>
    <xf numFmtId="1" fontId="20" fillId="0" borderId="1" xfId="1" applyNumberFormat="1" applyFont="1" applyBorder="1" applyAlignment="1">
      <alignment horizontal="right"/>
    </xf>
    <xf numFmtId="3" fontId="20" fillId="0" borderId="1" xfId="1" applyNumberFormat="1" applyFont="1" applyBorder="1" applyAlignment="1">
      <alignment horizontal="left" wrapText="1"/>
    </xf>
    <xf numFmtId="10" fontId="20" fillId="0" borderId="1" xfId="1" applyNumberFormat="1" applyFont="1" applyBorder="1"/>
    <xf numFmtId="165" fontId="2" fillId="2" borderId="1" xfId="2" applyFill="1" applyBorder="1" applyAlignment="1"/>
    <xf numFmtId="165" fontId="2" fillId="2" borderId="1" xfId="2" applyFill="1" applyBorder="1" applyAlignment="1">
      <alignment horizontal="center"/>
    </xf>
    <xf numFmtId="165" fontId="2" fillId="6" borderId="1" xfId="2" applyFill="1" applyBorder="1" applyAlignment="1">
      <alignment vertical="center"/>
    </xf>
    <xf numFmtId="0" fontId="28" fillId="0" borderId="0" xfId="1" applyFont="1" applyAlignment="1">
      <alignment vertical="center"/>
    </xf>
    <xf numFmtId="1" fontId="20" fillId="2" borderId="1" xfId="1" applyNumberFormat="1" applyFont="1" applyFill="1" applyBorder="1"/>
    <xf numFmtId="1" fontId="20" fillId="2" borderId="1" xfId="1" applyNumberFormat="1" applyFont="1" applyFill="1" applyBorder="1" applyAlignment="1">
      <alignment horizontal="right"/>
    </xf>
    <xf numFmtId="1" fontId="20" fillId="2" borderId="1" xfId="1" applyNumberFormat="1" applyFont="1" applyFill="1" applyBorder="1" applyAlignment="1">
      <alignment wrapText="1"/>
    </xf>
    <xf numFmtId="10" fontId="20" fillId="2" borderId="1" xfId="1" applyNumberFormat="1" applyFont="1" applyFill="1" applyBorder="1"/>
    <xf numFmtId="0" fontId="40" fillId="2" borderId="1" xfId="4" applyFont="1" applyFill="1" applyBorder="1" applyAlignment="1">
      <alignment horizontal="left" vertical="center"/>
    </xf>
    <xf numFmtId="0" fontId="41" fillId="2" borderId="1" xfId="4" applyFont="1" applyFill="1" applyBorder="1" applyAlignment="1">
      <alignment horizontal="right" vertical="center" wrapText="1"/>
    </xf>
    <xf numFmtId="165" fontId="2" fillId="2" borderId="1" xfId="2" applyFill="1" applyBorder="1" applyAlignment="1">
      <alignment vertical="center"/>
    </xf>
    <xf numFmtId="0" fontId="41" fillId="2" borderId="1" xfId="4" applyFont="1" applyFill="1" applyBorder="1" applyAlignment="1">
      <alignment horizontal="right"/>
    </xf>
    <xf numFmtId="3" fontId="20" fillId="2" borderId="1" xfId="1" applyNumberFormat="1" applyFont="1" applyFill="1" applyBorder="1" applyAlignment="1">
      <alignment horizontal="left" wrapText="1"/>
    </xf>
    <xf numFmtId="0" fontId="40" fillId="2" borderId="1" xfId="4" applyFont="1" applyFill="1" applyBorder="1"/>
    <xf numFmtId="0" fontId="43" fillId="2" borderId="1" xfId="1" applyFont="1" applyFill="1" applyBorder="1" applyAlignment="1">
      <alignment wrapText="1"/>
    </xf>
    <xf numFmtId="0" fontId="40" fillId="2" borderId="1" xfId="4" applyFont="1" applyFill="1" applyBorder="1" applyAlignment="1">
      <alignment vertical="center"/>
    </xf>
    <xf numFmtId="0" fontId="40" fillId="2" borderId="1" xfId="4" applyFont="1" applyFill="1" applyBorder="1" applyAlignment="1">
      <alignment vertical="center" wrapText="1"/>
    </xf>
    <xf numFmtId="1" fontId="20" fillId="2" borderId="1" xfId="1" applyNumberFormat="1" applyFont="1" applyFill="1" applyBorder="1" applyAlignment="1">
      <alignment vertical="center"/>
    </xf>
    <xf numFmtId="0" fontId="41" fillId="2" borderId="1" xfId="4" applyFont="1" applyFill="1" applyBorder="1" applyAlignment="1">
      <alignment horizontal="right" vertical="center"/>
    </xf>
    <xf numFmtId="165" fontId="2" fillId="2" borderId="1" xfId="2" applyFill="1" applyBorder="1" applyAlignment="1">
      <alignment horizontal="center" vertical="center"/>
    </xf>
    <xf numFmtId="10" fontId="20" fillId="2" borderId="1" xfId="1" applyNumberFormat="1" applyFont="1" applyFill="1" applyBorder="1" applyAlignment="1">
      <alignment vertical="center"/>
    </xf>
    <xf numFmtId="0" fontId="40" fillId="2" borderId="1" xfId="4" applyFont="1" applyFill="1" applyBorder="1" applyAlignment="1">
      <alignment vertical="center" wrapText="1" shrinkToFit="1"/>
    </xf>
    <xf numFmtId="3" fontId="28" fillId="0" borderId="0" xfId="1" applyNumberFormat="1" applyFont="1" applyAlignment="1">
      <alignment vertical="center"/>
    </xf>
    <xf numFmtId="3" fontId="30" fillId="16" borderId="1" xfId="1" applyNumberFormat="1" applyFont="1" applyFill="1" applyBorder="1" applyAlignment="1">
      <alignment vertical="center"/>
    </xf>
    <xf numFmtId="165" fontId="2" fillId="16" borderId="1" xfId="2" applyFill="1" applyBorder="1" applyAlignment="1">
      <alignment vertical="center"/>
    </xf>
    <xf numFmtId="165" fontId="2" fillId="16" borderId="1" xfId="2" applyFill="1" applyBorder="1" applyAlignment="1">
      <alignment horizontal="center" vertical="center"/>
    </xf>
    <xf numFmtId="9" fontId="34" fillId="16" borderId="1" xfId="1" applyNumberFormat="1" applyFont="1" applyFill="1" applyBorder="1" applyAlignment="1">
      <alignment vertical="center"/>
    </xf>
    <xf numFmtId="3" fontId="34" fillId="0" borderId="0" xfId="1" applyNumberFormat="1" applyFont="1" applyAlignment="1">
      <alignment horizontal="center"/>
    </xf>
    <xf numFmtId="3" fontId="34" fillId="0" borderId="0" xfId="1" applyNumberFormat="1" applyFont="1" applyAlignment="1">
      <alignment horizontal="right"/>
    </xf>
    <xf numFmtId="165" fontId="2" fillId="0" borderId="0" xfId="2" applyFill="1" applyBorder="1" applyAlignment="1">
      <alignment horizontal="center"/>
    </xf>
    <xf numFmtId="9" fontId="34" fillId="0" borderId="0" xfId="3" applyFont="1" applyFill="1" applyBorder="1" applyAlignment="1"/>
    <xf numFmtId="0" fontId="21" fillId="0" borderId="0" xfId="1" applyFont="1" applyAlignment="1">
      <alignment horizontal="right" vertical="center"/>
    </xf>
    <xf numFmtId="165" fontId="2" fillId="0" borderId="0" xfId="2" applyFill="1" applyAlignment="1">
      <alignment horizontal="center" vertical="center"/>
    </xf>
    <xf numFmtId="0" fontId="21" fillId="0" borderId="0" xfId="1" applyFont="1" applyAlignment="1">
      <alignment horizontal="right"/>
    </xf>
    <xf numFmtId="165" fontId="2" fillId="0" borderId="0" xfId="2" applyFill="1" applyAlignment="1">
      <alignment horizontal="center"/>
    </xf>
    <xf numFmtId="0" fontId="31" fillId="0" borderId="0" xfId="1" applyFont="1" applyAlignment="1">
      <alignment vertical="top"/>
    </xf>
    <xf numFmtId="0" fontId="31" fillId="0" borderId="0" xfId="1" applyFont="1" applyAlignment="1">
      <alignment horizontal="right" vertical="top"/>
    </xf>
    <xf numFmtId="165" fontId="2" fillId="0" borderId="0" xfId="2" applyBorder="1" applyAlignment="1">
      <alignment vertical="top"/>
    </xf>
    <xf numFmtId="3" fontId="31" fillId="0" borderId="0" xfId="1" applyNumberFormat="1" applyFont="1" applyAlignment="1">
      <alignment vertical="top"/>
    </xf>
    <xf numFmtId="165" fontId="2" fillId="0" borderId="0" xfId="2" applyAlignment="1">
      <alignment horizontal="center"/>
    </xf>
    <xf numFmtId="167" fontId="20" fillId="0" borderId="0" xfId="1" applyNumberFormat="1" applyFont="1"/>
    <xf numFmtId="0" fontId="44" fillId="0" borderId="0" xfId="1" applyFont="1" applyAlignment="1">
      <alignment vertical="center"/>
    </xf>
    <xf numFmtId="0" fontId="44" fillId="3" borderId="1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17" borderId="0" xfId="1" applyFill="1" applyAlignment="1">
      <alignment horizontal="center" vertical="center"/>
    </xf>
    <xf numFmtId="0" fontId="2" fillId="6" borderId="1" xfId="1" applyFill="1" applyBorder="1" applyAlignment="1">
      <alignment horizontal="center"/>
    </xf>
    <xf numFmtId="0" fontId="44" fillId="6" borderId="1" xfId="1" applyFont="1" applyFill="1" applyBorder="1" applyAlignment="1">
      <alignment horizontal="center" vertical="center"/>
    </xf>
    <xf numFmtId="0" fontId="2" fillId="6" borderId="1" xfId="1" applyFill="1" applyBorder="1"/>
    <xf numFmtId="0" fontId="2" fillId="0" borderId="1" xfId="1" applyBorder="1" applyAlignment="1">
      <alignment horizontal="center"/>
    </xf>
    <xf numFmtId="0" fontId="2" fillId="0" borderId="1" xfId="1" applyBorder="1"/>
    <xf numFmtId="165" fontId="2" fillId="0" borderId="1" xfId="1" applyNumberFormat="1" applyBorder="1"/>
    <xf numFmtId="165" fontId="2" fillId="0" borderId="1" xfId="1" applyNumberFormat="1" applyBorder="1" applyAlignment="1">
      <alignment horizontal="left"/>
    </xf>
    <xf numFmtId="165" fontId="44" fillId="4" borderId="1" xfId="1" applyNumberFormat="1" applyFont="1" applyFill="1" applyBorder="1"/>
    <xf numFmtId="0" fontId="2" fillId="17" borderId="0" xfId="1" applyFill="1"/>
    <xf numFmtId="0" fontId="44" fillId="0" borderId="1" xfId="1" applyFont="1" applyBorder="1" applyAlignment="1">
      <alignment horizontal="center" vertical="center"/>
    </xf>
    <xf numFmtId="0" fontId="2" fillId="17" borderId="1" xfId="1" applyFill="1" applyBorder="1"/>
    <xf numFmtId="0" fontId="45" fillId="17" borderId="1" xfId="1" applyFont="1" applyFill="1" applyBorder="1"/>
    <xf numFmtId="165" fontId="2" fillId="17" borderId="1" xfId="2" applyFill="1" applyBorder="1" applyAlignment="1"/>
    <xf numFmtId="49" fontId="2" fillId="0" borderId="1" xfId="1" applyNumberFormat="1" applyBorder="1"/>
    <xf numFmtId="165" fontId="44" fillId="4" borderId="1" xfId="2" applyFont="1" applyFill="1" applyBorder="1" applyAlignment="1"/>
    <xf numFmtId="165" fontId="44" fillId="16" borderId="1" xfId="2" applyFont="1" applyFill="1" applyBorder="1" applyAlignment="1"/>
    <xf numFmtId="0" fontId="45" fillId="0" borderId="0" xfId="1" applyFont="1" applyAlignment="1">
      <alignment horizontal="center"/>
    </xf>
    <xf numFmtId="165" fontId="44" fillId="0" borderId="0" xfId="2" applyFont="1" applyFill="1" applyBorder="1" applyAlignment="1"/>
    <xf numFmtId="0" fontId="45" fillId="0" borderId="0" xfId="1" applyFont="1"/>
    <xf numFmtId="0" fontId="20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2" fillId="2" borderId="0" xfId="1" applyFill="1"/>
    <xf numFmtId="165" fontId="12" fillId="2" borderId="0" xfId="2" applyFont="1" applyFill="1" applyAlignment="1"/>
    <xf numFmtId="0" fontId="12" fillId="0" borderId="0" xfId="1" applyFont="1"/>
    <xf numFmtId="0" fontId="14" fillId="2" borderId="0" xfId="1" applyFont="1" applyFill="1" applyAlignment="1">
      <alignment wrapText="1"/>
    </xf>
    <xf numFmtId="165" fontId="12" fillId="2" borderId="0" xfId="2" applyFont="1" applyFill="1" applyBorder="1" applyAlignment="1"/>
    <xf numFmtId="0" fontId="45" fillId="8" borderId="13" xfId="1" applyFont="1" applyFill="1" applyBorder="1" applyAlignment="1">
      <alignment horizontal="center"/>
    </xf>
    <xf numFmtId="165" fontId="45" fillId="8" borderId="14" xfId="2" applyFont="1" applyFill="1" applyBorder="1" applyAlignment="1">
      <alignment horizontal="center"/>
    </xf>
    <xf numFmtId="0" fontId="35" fillId="2" borderId="0" xfId="1" applyFont="1" applyFill="1" applyAlignment="1">
      <alignment horizontal="center"/>
    </xf>
    <xf numFmtId="165" fontId="45" fillId="8" borderId="15" xfId="2" applyFont="1" applyFill="1" applyBorder="1" applyAlignment="1">
      <alignment horizontal="center"/>
    </xf>
    <xf numFmtId="0" fontId="35" fillId="2" borderId="0" xfId="1" applyFont="1" applyFill="1"/>
    <xf numFmtId="0" fontId="8" fillId="2" borderId="0" xfId="1" applyFont="1" applyFill="1" applyAlignment="1">
      <alignment horizontal="center"/>
    </xf>
    <xf numFmtId="165" fontId="45" fillId="2" borderId="0" xfId="2" applyFont="1" applyFill="1" applyBorder="1" applyAlignment="1">
      <alignment horizontal="center"/>
    </xf>
    <xf numFmtId="0" fontId="49" fillId="2" borderId="0" xfId="1" applyFont="1" applyFill="1"/>
    <xf numFmtId="0" fontId="45" fillId="2" borderId="0" xfId="1" applyFont="1" applyFill="1" applyAlignment="1">
      <alignment horizontal="center"/>
    </xf>
    <xf numFmtId="4" fontId="35" fillId="2" borderId="1" xfId="1" applyNumberFormat="1" applyFont="1" applyFill="1" applyBorder="1"/>
    <xf numFmtId="165" fontId="35" fillId="0" borderId="1" xfId="2" applyFont="1" applyBorder="1" applyAlignment="1"/>
    <xf numFmtId="9" fontId="35" fillId="2" borderId="1" xfId="3" applyFont="1" applyFill="1" applyBorder="1" applyAlignment="1">
      <alignment horizontal="center"/>
    </xf>
    <xf numFmtId="0" fontId="35" fillId="2" borderId="1" xfId="1" applyFont="1" applyFill="1" applyBorder="1"/>
    <xf numFmtId="165" fontId="35" fillId="2" borderId="1" xfId="2" applyFont="1" applyFill="1" applyBorder="1" applyAlignment="1"/>
    <xf numFmtId="4" fontId="5" fillId="2" borderId="0" xfId="1" applyNumberFormat="1" applyFont="1" applyFill="1"/>
    <xf numFmtId="4" fontId="45" fillId="16" borderId="16" xfId="1" applyNumberFormat="1" applyFont="1" applyFill="1" applyBorder="1"/>
    <xf numFmtId="4" fontId="45" fillId="16" borderId="17" xfId="1" applyNumberFormat="1" applyFont="1" applyFill="1" applyBorder="1"/>
    <xf numFmtId="9" fontId="45" fillId="16" borderId="18" xfId="3" applyFont="1" applyFill="1" applyBorder="1" applyAlignment="1">
      <alignment horizontal="center"/>
    </xf>
    <xf numFmtId="0" fontId="50" fillId="2" borderId="0" xfId="1" applyFont="1" applyFill="1"/>
    <xf numFmtId="4" fontId="45" fillId="16" borderId="19" xfId="1" applyNumberFormat="1" applyFont="1" applyFill="1" applyBorder="1"/>
    <xf numFmtId="9" fontId="45" fillId="16" borderId="17" xfId="3" applyFont="1" applyFill="1" applyBorder="1" applyAlignment="1">
      <alignment horizontal="center"/>
    </xf>
    <xf numFmtId="4" fontId="12" fillId="2" borderId="0" xfId="1" applyNumberFormat="1" applyFont="1" applyFill="1"/>
    <xf numFmtId="0" fontId="5" fillId="0" borderId="0" xfId="1" applyFont="1"/>
    <xf numFmtId="0" fontId="31" fillId="0" borderId="0" xfId="1" applyFont="1" applyAlignment="1">
      <alignment vertical="center"/>
    </xf>
    <xf numFmtId="0" fontId="35" fillId="0" borderId="0" xfId="1" applyFont="1"/>
    <xf numFmtId="165" fontId="27" fillId="0" borderId="0" xfId="2" applyFont="1" applyFill="1" applyAlignment="1"/>
    <xf numFmtId="165" fontId="12" fillId="0" borderId="0" xfId="2" applyFont="1" applyAlignment="1"/>
    <xf numFmtId="0" fontId="44" fillId="0" borderId="0" xfId="1" applyFont="1"/>
    <xf numFmtId="0" fontId="2" fillId="18" borderId="1" xfId="1" applyFill="1" applyBorder="1"/>
    <xf numFmtId="10" fontId="30" fillId="4" borderId="1" xfId="1" applyNumberFormat="1" applyFont="1" applyFill="1" applyBorder="1" applyAlignment="1">
      <alignment vertical="center"/>
    </xf>
    <xf numFmtId="164" fontId="2" fillId="0" borderId="1" xfId="2" applyNumberFormat="1" applyBorder="1" applyAlignment="1"/>
    <xf numFmtId="10" fontId="2" fillId="0" borderId="1" xfId="1" applyNumberFormat="1" applyBorder="1"/>
    <xf numFmtId="10" fontId="2" fillId="0" borderId="0" xfId="1" applyNumberFormat="1"/>
    <xf numFmtId="0" fontId="2" fillId="19" borderId="1" xfId="1" applyFill="1" applyBorder="1"/>
    <xf numFmtId="164" fontId="2" fillId="19" borderId="1" xfId="2" applyNumberFormat="1" applyFill="1" applyBorder="1" applyAlignment="1"/>
    <xf numFmtId="10" fontId="2" fillId="19" borderId="1" xfId="1" applyNumberFormat="1" applyFill="1" applyBorder="1"/>
    <xf numFmtId="0" fontId="51" fillId="2" borderId="0" xfId="1" applyFont="1" applyFill="1"/>
    <xf numFmtId="170" fontId="51" fillId="2" borderId="0" xfId="1" applyNumberFormat="1" applyFont="1" applyFill="1"/>
    <xf numFmtId="0" fontId="52" fillId="2" borderId="0" xfId="1" applyFont="1" applyFill="1"/>
    <xf numFmtId="165" fontId="33" fillId="0" borderId="0" xfId="2" applyFont="1" applyFill="1" applyAlignment="1"/>
    <xf numFmtId="0" fontId="53" fillId="2" borderId="0" xfId="6" applyFont="1" applyFill="1"/>
    <xf numFmtId="0" fontId="26" fillId="2" borderId="0" xfId="1" applyFont="1" applyFill="1"/>
    <xf numFmtId="0" fontId="54" fillId="2" borderId="0" xfId="6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3" fillId="12" borderId="1" xfId="1" applyFont="1" applyFill="1" applyBorder="1" applyAlignment="1">
      <alignment vertical="center"/>
    </xf>
    <xf numFmtId="165" fontId="57" fillId="0" borderId="0" xfId="2" applyFont="1" applyFill="1" applyAlignment="1">
      <alignment vertical="center"/>
    </xf>
    <xf numFmtId="165" fontId="33" fillId="0" borderId="0" xfId="1" applyNumberFormat="1" applyFont="1"/>
    <xf numFmtId="0" fontId="53" fillId="12" borderId="1" xfId="1" applyFont="1" applyFill="1" applyBorder="1"/>
    <xf numFmtId="0" fontId="26" fillId="12" borderId="1" xfId="1" applyFont="1" applyFill="1" applyBorder="1"/>
    <xf numFmtId="170" fontId="58" fillId="12" borderId="1" xfId="1" applyNumberFormat="1" applyFont="1" applyFill="1" applyBorder="1" applyAlignment="1">
      <alignment horizontal="right"/>
    </xf>
    <xf numFmtId="49" fontId="59" fillId="12" borderId="1" xfId="6" applyNumberFormat="1" applyFont="1" applyFill="1" applyBorder="1" applyAlignment="1">
      <alignment horizontal="left"/>
    </xf>
    <xf numFmtId="170" fontId="58" fillId="12" borderId="1" xfId="6" applyNumberFormat="1" applyFont="1" applyFill="1" applyBorder="1" applyAlignment="1">
      <alignment horizontal="right"/>
    </xf>
    <xf numFmtId="0" fontId="33" fillId="12" borderId="1" xfId="1" applyFont="1" applyFill="1" applyBorder="1"/>
    <xf numFmtId="170" fontId="61" fillId="12" borderId="1" xfId="1" applyNumberFormat="1" applyFont="1" applyFill="1" applyBorder="1" applyAlignment="1">
      <alignment horizontal="right"/>
    </xf>
    <xf numFmtId="170" fontId="58" fillId="12" borderId="1" xfId="6" applyNumberFormat="1" applyFont="1" applyFill="1" applyBorder="1" applyAlignment="1" applyProtection="1">
      <alignment horizontal="right"/>
      <protection locked="0"/>
    </xf>
    <xf numFmtId="170" fontId="58" fillId="12" borderId="1" xfId="1" applyNumberFormat="1" applyFont="1" applyFill="1" applyBorder="1" applyAlignment="1" applyProtection="1">
      <alignment horizontal="right"/>
      <protection locked="0"/>
    </xf>
    <xf numFmtId="170" fontId="61" fillId="12" borderId="1" xfId="6" applyNumberFormat="1" applyFont="1" applyFill="1" applyBorder="1" applyAlignment="1" applyProtection="1">
      <alignment horizontal="right"/>
      <protection locked="0"/>
    </xf>
    <xf numFmtId="0" fontId="33" fillId="12" borderId="1" xfId="1" applyFont="1" applyFill="1" applyBorder="1" applyAlignment="1">
      <alignment vertical="center"/>
    </xf>
    <xf numFmtId="170" fontId="58" fillId="12" borderId="1" xfId="6" applyNumberFormat="1" applyFont="1" applyFill="1" applyBorder="1" applyAlignment="1">
      <alignment horizontal="right" vertical="center"/>
    </xf>
    <xf numFmtId="170" fontId="58" fillId="12" borderId="1" xfId="1" applyNumberFormat="1" applyFont="1" applyFill="1" applyBorder="1" applyAlignment="1" applyProtection="1">
      <alignment horizontal="right" vertical="center"/>
      <protection locked="0"/>
    </xf>
    <xf numFmtId="170" fontId="61" fillId="12" borderId="1" xfId="6" applyNumberFormat="1" applyFont="1" applyFill="1" applyBorder="1" applyAlignment="1">
      <alignment horizontal="right" vertical="center"/>
    </xf>
    <xf numFmtId="0" fontId="26" fillId="0" borderId="0" xfId="1" applyFont="1"/>
    <xf numFmtId="49" fontId="58" fillId="0" borderId="0" xfId="6" applyNumberFormat="1" applyFont="1" applyAlignment="1">
      <alignment horizontal="left"/>
    </xf>
    <xf numFmtId="49" fontId="62" fillId="0" borderId="0" xfId="6" applyNumberFormat="1" applyFont="1" applyAlignment="1">
      <alignment horizontal="center"/>
    </xf>
    <xf numFmtId="4" fontId="62" fillId="0" borderId="0" xfId="6" applyNumberFormat="1" applyFont="1" applyAlignment="1">
      <alignment horizontal="center"/>
    </xf>
    <xf numFmtId="4" fontId="63" fillId="0" borderId="0" xfId="6" applyNumberFormat="1" applyFont="1" applyAlignment="1">
      <alignment horizontal="center"/>
    </xf>
    <xf numFmtId="165" fontId="31" fillId="0" borderId="0" xfId="2" applyFont="1" applyFill="1" applyAlignment="1">
      <alignment vertical="center"/>
    </xf>
    <xf numFmtId="0" fontId="64" fillId="0" borderId="0" xfId="1" applyFont="1"/>
    <xf numFmtId="0" fontId="31" fillId="0" borderId="0" xfId="1" applyFont="1"/>
    <xf numFmtId="165" fontId="31" fillId="0" borderId="0" xfId="2" applyFont="1" applyFill="1" applyAlignment="1"/>
    <xf numFmtId="3" fontId="21" fillId="0" borderId="0" xfId="1" applyNumberFormat="1" applyFont="1"/>
    <xf numFmtId="49" fontId="63" fillId="0" borderId="0" xfId="6" applyNumberFormat="1" applyFont="1" applyAlignment="1">
      <alignment horizontal="center"/>
    </xf>
    <xf numFmtId="49" fontId="26" fillId="0" borderId="0" xfId="6" applyNumberFormat="1" applyFont="1" applyAlignment="1">
      <alignment horizontal="center"/>
    </xf>
    <xf numFmtId="49" fontId="53" fillId="0" borderId="0" xfId="6" applyNumberFormat="1" applyFont="1" applyAlignment="1">
      <alignment horizontal="center"/>
    </xf>
    <xf numFmtId="0" fontId="56" fillId="0" borderId="0" xfId="6" applyFont="1" applyAlignment="1">
      <alignment vertical="center"/>
    </xf>
    <xf numFmtId="0" fontId="56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5" fillId="2" borderId="0" xfId="1" applyFont="1" applyFill="1" applyAlignment="1">
      <alignment horizontal="center" vertical="center"/>
    </xf>
    <xf numFmtId="165" fontId="4" fillId="0" borderId="0" xfId="2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9" fontId="4" fillId="2" borderId="0" xfId="3" applyFont="1" applyFill="1" applyAlignment="1">
      <alignment vertical="center"/>
    </xf>
    <xf numFmtId="0" fontId="17" fillId="8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9" fontId="17" fillId="8" borderId="1" xfId="3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165" fontId="17" fillId="20" borderId="1" xfId="2" applyFont="1" applyFill="1" applyBorder="1" applyAlignment="1">
      <alignment vertical="center"/>
    </xf>
    <xf numFmtId="9" fontId="17" fillId="20" borderId="1" xfId="3" applyFont="1" applyFill="1" applyBorder="1" applyAlignment="1">
      <alignment vertical="center"/>
    </xf>
    <xf numFmtId="165" fontId="66" fillId="0" borderId="1" xfId="3" applyNumberFormat="1" applyFont="1" applyFill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67" fillId="21" borderId="1" xfId="2" applyNumberFormat="1" applyFont="1" applyFill="1" applyBorder="1" applyAlignment="1">
      <alignment horizontal="right" vertical="center"/>
    </xf>
    <xf numFmtId="171" fontId="67" fillId="21" borderId="1" xfId="2" applyNumberFormat="1" applyFont="1" applyFill="1" applyBorder="1" applyAlignment="1">
      <alignment horizontal="center" vertical="center"/>
    </xf>
    <xf numFmtId="165" fontId="4" fillId="21" borderId="1" xfId="2" applyFont="1" applyFill="1" applyBorder="1" applyAlignment="1">
      <alignment vertical="center"/>
    </xf>
    <xf numFmtId="0" fontId="4" fillId="21" borderId="1" xfId="1" applyFont="1" applyFill="1" applyBorder="1" applyAlignment="1">
      <alignment vertical="center"/>
    </xf>
    <xf numFmtId="165" fontId="4" fillId="21" borderId="1" xfId="1" applyNumberFormat="1" applyFont="1" applyFill="1" applyBorder="1" applyAlignment="1">
      <alignment vertical="center"/>
    </xf>
    <xf numFmtId="9" fontId="4" fillId="21" borderId="1" xfId="3" applyFont="1" applyFill="1" applyBorder="1" applyAlignment="1">
      <alignment vertical="center"/>
    </xf>
    <xf numFmtId="165" fontId="68" fillId="0" borderId="1" xfId="3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0" fontId="4" fillId="5" borderId="0" xfId="1" applyFont="1" applyFill="1" applyAlignment="1">
      <alignment vertical="center"/>
    </xf>
    <xf numFmtId="0" fontId="67" fillId="0" borderId="1" xfId="1" applyFont="1" applyBorder="1" applyAlignment="1">
      <alignment horizontal="right" vertical="center"/>
    </xf>
    <xf numFmtId="165" fontId="4" fillId="0" borderId="1" xfId="2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" fontId="4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9" fontId="69" fillId="0" borderId="0" xfId="3" applyFont="1" applyFill="1" applyAlignment="1">
      <alignment horizontal="center" vertical="center"/>
    </xf>
    <xf numFmtId="9" fontId="4" fillId="0" borderId="0" xfId="3" applyFont="1" applyFill="1" applyAlignment="1">
      <alignment horizontal="center" vertical="center"/>
    </xf>
    <xf numFmtId="165" fontId="17" fillId="16" borderId="1" xfId="1" applyNumberFormat="1" applyFont="1" applyFill="1" applyBorder="1" applyAlignment="1">
      <alignment horizontal="center" vertical="center"/>
    </xf>
    <xf numFmtId="0" fontId="67" fillId="21" borderId="1" xfId="1" applyFont="1" applyFill="1" applyBorder="1" applyAlignment="1">
      <alignment horizontal="right" vertical="center"/>
    </xf>
    <xf numFmtId="165" fontId="19" fillId="0" borderId="1" xfId="1" applyNumberFormat="1" applyFont="1" applyBorder="1" applyAlignment="1">
      <alignment vertical="center"/>
    </xf>
    <xf numFmtId="0" fontId="17" fillId="22" borderId="1" xfId="1" applyFont="1" applyFill="1" applyBorder="1" applyAlignment="1">
      <alignment vertical="center"/>
    </xf>
    <xf numFmtId="165" fontId="17" fillId="22" borderId="1" xfId="2" applyFont="1" applyFill="1" applyBorder="1" applyAlignment="1">
      <alignment vertical="center"/>
    </xf>
    <xf numFmtId="165" fontId="17" fillId="0" borderId="0" xfId="2" applyFont="1" applyFill="1" applyAlignment="1">
      <alignment vertical="center"/>
    </xf>
    <xf numFmtId="4" fontId="4" fillId="0" borderId="0" xfId="1" applyNumberFormat="1" applyFont="1" applyAlignment="1">
      <alignment vertical="center"/>
    </xf>
    <xf numFmtId="9" fontId="4" fillId="0" borderId="0" xfId="3" applyFont="1" applyFill="1" applyAlignment="1">
      <alignment vertical="center"/>
    </xf>
    <xf numFmtId="165" fontId="4" fillId="8" borderId="1" xfId="2" applyFont="1" applyFill="1" applyBorder="1" applyAlignment="1">
      <alignment vertical="center"/>
    </xf>
    <xf numFmtId="0" fontId="4" fillId="8" borderId="1" xfId="1" applyFont="1" applyFill="1" applyBorder="1" applyAlignment="1">
      <alignment vertical="center"/>
    </xf>
    <xf numFmtId="165" fontId="17" fillId="8" borderId="1" xfId="2" applyFont="1" applyFill="1" applyBorder="1" applyAlignment="1">
      <alignment vertical="center"/>
    </xf>
    <xf numFmtId="0" fontId="4" fillId="0" borderId="20" xfId="1" applyFont="1" applyBorder="1" applyAlignment="1">
      <alignment vertical="center"/>
    </xf>
    <xf numFmtId="9" fontId="4" fillId="0" borderId="0" xfId="3" applyFont="1" applyFill="1" applyBorder="1" applyAlignment="1">
      <alignment vertical="center"/>
    </xf>
    <xf numFmtId="165" fontId="4" fillId="0" borderId="20" xfId="1" applyNumberFormat="1" applyFont="1" applyBorder="1" applyAlignment="1">
      <alignment vertical="center"/>
    </xf>
    <xf numFmtId="9" fontId="4" fillId="5" borderId="0" xfId="3" applyFont="1" applyFill="1" applyBorder="1" applyAlignment="1">
      <alignment vertical="center"/>
    </xf>
    <xf numFmtId="3" fontId="5" fillId="5" borderId="0" xfId="3" applyNumberFormat="1" applyFont="1" applyFill="1" applyBorder="1" applyAlignment="1">
      <alignment vertical="center"/>
    </xf>
    <xf numFmtId="9" fontId="4" fillId="2" borderId="0" xfId="3" applyFont="1" applyFill="1" applyBorder="1" applyAlignment="1">
      <alignment vertical="center"/>
    </xf>
    <xf numFmtId="0" fontId="70" fillId="2" borderId="0" xfId="1" applyFont="1" applyFill="1" applyAlignment="1">
      <alignment horizontal="center" vertical="center"/>
    </xf>
    <xf numFmtId="10" fontId="4" fillId="2" borderId="0" xfId="1" applyNumberFormat="1" applyFont="1" applyFill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10" fontId="2" fillId="0" borderId="0" xfId="3" applyNumberFormat="1" applyFill="1" applyAlignment="1">
      <alignment vertical="center"/>
    </xf>
    <xf numFmtId="0" fontId="17" fillId="2" borderId="21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166" fontId="4" fillId="2" borderId="4" xfId="2" applyNumberFormat="1" applyFont="1" applyFill="1" applyBorder="1" applyAlignment="1">
      <alignment vertical="center"/>
    </xf>
    <xf numFmtId="0" fontId="4" fillId="23" borderId="0" xfId="1" applyFont="1" applyFill="1" applyAlignment="1">
      <alignment vertical="center"/>
    </xf>
    <xf numFmtId="0" fontId="4" fillId="8" borderId="0" xfId="1" applyFont="1" applyFill="1" applyAlignment="1">
      <alignment vertical="center"/>
    </xf>
    <xf numFmtId="165" fontId="4" fillId="8" borderId="0" xfId="2" applyFont="1" applyFill="1" applyAlignment="1">
      <alignment vertical="center"/>
    </xf>
    <xf numFmtId="165" fontId="71" fillId="8" borderId="0" xfId="2" applyFont="1" applyFill="1" applyAlignment="1">
      <alignment vertical="center"/>
    </xf>
    <xf numFmtId="165" fontId="4" fillId="2" borderId="0" xfId="2" applyFont="1" applyFill="1" applyAlignment="1">
      <alignment vertical="center"/>
    </xf>
    <xf numFmtId="0" fontId="71" fillId="2" borderId="0" xfId="1" applyFont="1" applyFill="1" applyAlignment="1">
      <alignment vertical="center"/>
    </xf>
    <xf numFmtId="0" fontId="72" fillId="2" borderId="0" xfId="1" applyFont="1" applyFill="1" applyAlignment="1">
      <alignment vertical="center"/>
    </xf>
    <xf numFmtId="0" fontId="4" fillId="24" borderId="0" xfId="1" applyFont="1" applyFill="1" applyAlignment="1">
      <alignment vertical="center"/>
    </xf>
    <xf numFmtId="165" fontId="4" fillId="24" borderId="0" xfId="2" applyFont="1" applyFill="1" applyAlignment="1">
      <alignment vertical="center"/>
    </xf>
    <xf numFmtId="0" fontId="72" fillId="24" borderId="0" xfId="1" applyFont="1" applyFill="1" applyAlignment="1">
      <alignment vertical="center"/>
    </xf>
    <xf numFmtId="0" fontId="17" fillId="25" borderId="1" xfId="1" applyFont="1" applyFill="1" applyBorder="1" applyAlignment="1">
      <alignment vertical="center"/>
    </xf>
    <xf numFmtId="0" fontId="17" fillId="25" borderId="1" xfId="1" applyFont="1" applyFill="1" applyBorder="1" applyAlignment="1">
      <alignment vertical="center" wrapText="1"/>
    </xf>
    <xf numFmtId="0" fontId="4" fillId="25" borderId="1" xfId="1" applyFont="1" applyFill="1" applyBorder="1" applyAlignment="1">
      <alignment vertical="center" wrapText="1"/>
    </xf>
    <xf numFmtId="4" fontId="4" fillId="25" borderId="1" xfId="1" applyNumberFormat="1" applyFont="1" applyFill="1" applyBorder="1" applyAlignment="1">
      <alignment vertical="center" wrapText="1"/>
    </xf>
    <xf numFmtId="0" fontId="73" fillId="2" borderId="0" xfId="1" applyFont="1" applyFill="1" applyAlignment="1">
      <alignment vertical="center"/>
    </xf>
    <xf numFmtId="165" fontId="73" fillId="2" borderId="0" xfId="2" applyFont="1" applyFill="1" applyAlignment="1">
      <alignment vertical="center"/>
    </xf>
    <xf numFmtId="0" fontId="4" fillId="8" borderId="1" xfId="1" applyFont="1" applyFill="1" applyBorder="1" applyAlignment="1">
      <alignment vertical="center" wrapText="1"/>
    </xf>
    <xf numFmtId="4" fontId="17" fillId="8" borderId="1" xfId="1" applyNumberFormat="1" applyFont="1" applyFill="1" applyBorder="1" applyAlignment="1">
      <alignment vertical="center" wrapText="1"/>
    </xf>
    <xf numFmtId="4" fontId="4" fillId="0" borderId="22" xfId="1" applyNumberFormat="1" applyFont="1" applyBorder="1" applyAlignment="1">
      <alignment vertical="center" wrapText="1"/>
    </xf>
    <xf numFmtId="166" fontId="69" fillId="2" borderId="0" xfId="2" applyNumberFormat="1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4" fontId="4" fillId="2" borderId="0" xfId="1" applyNumberFormat="1" applyFont="1" applyFill="1" applyAlignment="1">
      <alignment vertical="center"/>
    </xf>
    <xf numFmtId="0" fontId="17" fillId="8" borderId="1" xfId="1" applyFont="1" applyFill="1" applyBorder="1" applyAlignment="1">
      <alignment vertical="center"/>
    </xf>
    <xf numFmtId="165" fontId="17" fillId="0" borderId="1" xfId="2" applyFont="1" applyFill="1" applyBorder="1" applyAlignment="1">
      <alignment vertical="center"/>
    </xf>
    <xf numFmtId="166" fontId="17" fillId="0" borderId="1" xfId="2" applyNumberFormat="1" applyFont="1" applyFill="1" applyBorder="1" applyAlignment="1">
      <alignment vertical="center"/>
    </xf>
    <xf numFmtId="11" fontId="4" fillId="2" borderId="0" xfId="1" applyNumberFormat="1" applyFont="1" applyFill="1" applyAlignment="1">
      <alignment vertical="center"/>
    </xf>
    <xf numFmtId="9" fontId="4" fillId="0" borderId="0" xfId="3" applyFont="1" applyAlignment="1">
      <alignment vertical="center"/>
    </xf>
    <xf numFmtId="0" fontId="44" fillId="0" borderId="0" xfId="1" applyFont="1" applyAlignment="1">
      <alignment horizontal="center" vertical="center"/>
    </xf>
    <xf numFmtId="165" fontId="0" fillId="0" borderId="0" xfId="2" applyFont="1" applyAlignment="1"/>
    <xf numFmtId="0" fontId="44" fillId="8" borderId="1" xfId="1" applyFont="1" applyFill="1" applyBorder="1"/>
    <xf numFmtId="0" fontId="44" fillId="8" borderId="1" xfId="1" applyFont="1" applyFill="1" applyBorder="1" applyAlignment="1">
      <alignment horizontal="center"/>
    </xf>
    <xf numFmtId="4" fontId="2" fillId="0" borderId="1" xfId="1" applyNumberFormat="1" applyBorder="1" applyAlignment="1">
      <alignment horizontal="left"/>
    </xf>
    <xf numFmtId="4" fontId="2" fillId="0" borderId="1" xfId="1" applyNumberFormat="1" applyBorder="1"/>
    <xf numFmtId="0" fontId="2" fillId="0" borderId="11" xfId="1" applyBorder="1" applyAlignment="1">
      <alignment horizontal="center"/>
    </xf>
    <xf numFmtId="4" fontId="2" fillId="0" borderId="11" xfId="1" applyNumberFormat="1" applyBorder="1"/>
    <xf numFmtId="4" fontId="44" fillId="16" borderId="1" xfId="1" applyNumberFormat="1" applyFont="1" applyFill="1" applyBorder="1"/>
    <xf numFmtId="4" fontId="44" fillId="16" borderId="4" xfId="1" applyNumberFormat="1" applyFont="1" applyFill="1" applyBorder="1"/>
    <xf numFmtId="4" fontId="44" fillId="16" borderId="22" xfId="1" applyNumberFormat="1" applyFont="1" applyFill="1" applyBorder="1"/>
    <xf numFmtId="4" fontId="44" fillId="8" borderId="1" xfId="1" applyNumberFormat="1" applyFont="1" applyFill="1" applyBorder="1"/>
    <xf numFmtId="4" fontId="44" fillId="4" borderId="1" xfId="1" applyNumberFormat="1" applyFont="1" applyFill="1" applyBorder="1"/>
    <xf numFmtId="0" fontId="21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165" fontId="1" fillId="26" borderId="23" xfId="2" applyFont="1" applyFill="1" applyBorder="1" applyAlignment="1">
      <alignment vertical="top" wrapText="1"/>
    </xf>
    <xf numFmtId="165" fontId="2" fillId="26" borderId="23" xfId="2" applyFill="1" applyBorder="1" applyAlignment="1">
      <alignment vertical="top" wrapText="1"/>
    </xf>
    <xf numFmtId="165" fontId="0" fillId="26" borderId="0" xfId="2" applyFont="1" applyFill="1" applyBorder="1" applyAlignment="1">
      <alignment vertical="top" wrapText="1"/>
    </xf>
    <xf numFmtId="165" fontId="2" fillId="26" borderId="0" xfId="2" applyFill="1" applyBorder="1" applyAlignment="1">
      <alignment vertical="top" wrapText="1"/>
    </xf>
    <xf numFmtId="165" fontId="0" fillId="11" borderId="0" xfId="2" applyFont="1" applyFill="1" applyBorder="1" applyAlignment="1">
      <alignment vertical="top" wrapText="1"/>
    </xf>
    <xf numFmtId="165" fontId="1" fillId="11" borderId="23" xfId="2" applyFont="1" applyFill="1" applyBorder="1" applyAlignment="1">
      <alignment vertical="top" wrapText="1"/>
    </xf>
    <xf numFmtId="165" fontId="2" fillId="11" borderId="23" xfId="2" applyFill="1" applyBorder="1" applyAlignment="1">
      <alignment vertical="top" wrapText="1"/>
    </xf>
    <xf numFmtId="0" fontId="2" fillId="11" borderId="0" xfId="1" applyFill="1"/>
    <xf numFmtId="165" fontId="2" fillId="0" borderId="23" xfId="2" applyBorder="1" applyAlignment="1">
      <alignment vertical="top" wrapText="1"/>
    </xf>
    <xf numFmtId="165" fontId="0" fillId="0" borderId="0" xfId="2" applyFont="1" applyBorder="1" applyAlignment="1">
      <alignment vertical="top" wrapText="1"/>
    </xf>
    <xf numFmtId="0" fontId="76" fillId="26" borderId="23" xfId="1" applyFont="1" applyFill="1" applyBorder="1" applyAlignment="1">
      <alignment vertical="top" wrapText="1"/>
    </xf>
    <xf numFmtId="0" fontId="2" fillId="26" borderId="0" xfId="1" applyFill="1"/>
    <xf numFmtId="0" fontId="26" fillId="11" borderId="1" xfId="1" applyFont="1" applyFill="1" applyBorder="1" applyAlignment="1">
      <alignment horizontal="left"/>
    </xf>
    <xf numFmtId="0" fontId="58" fillId="11" borderId="1" xfId="1" applyFont="1" applyFill="1" applyBorder="1" applyAlignment="1">
      <alignment horizontal="left"/>
    </xf>
    <xf numFmtId="49" fontId="58" fillId="11" borderId="1" xfId="6" applyNumberFormat="1" applyFont="1" applyFill="1" applyBorder="1" applyAlignment="1">
      <alignment horizontal="left"/>
    </xf>
    <xf numFmtId="49" fontId="26" fillId="11" borderId="1" xfId="6" applyNumberFormat="1" applyFont="1" applyFill="1" applyBorder="1" applyAlignment="1">
      <alignment horizontal="left"/>
    </xf>
    <xf numFmtId="49" fontId="60" fillId="11" borderId="1" xfId="6" applyNumberFormat="1" applyFont="1" applyFill="1" applyBorder="1" applyAlignment="1">
      <alignment horizontal="left"/>
    </xf>
    <xf numFmtId="49" fontId="61" fillId="11" borderId="1" xfId="6" applyNumberFormat="1" applyFont="1" applyFill="1" applyBorder="1" applyAlignment="1">
      <alignment horizontal="left"/>
    </xf>
    <xf numFmtId="49" fontId="58" fillId="11" borderId="1" xfId="1" applyNumberFormat="1" applyFont="1" applyFill="1" applyBorder="1"/>
    <xf numFmtId="0" fontId="60" fillId="11" borderId="1" xfId="1" applyFont="1" applyFill="1" applyBorder="1" applyAlignment="1">
      <alignment horizontal="left"/>
    </xf>
    <xf numFmtId="0" fontId="26" fillId="11" borderId="1" xfId="1" applyFont="1" applyFill="1" applyBorder="1" applyAlignment="1">
      <alignment horizontal="left" vertical="center"/>
    </xf>
    <xf numFmtId="49" fontId="26" fillId="11" borderId="1" xfId="6" applyNumberFormat="1" applyFont="1" applyFill="1" applyBorder="1" applyAlignment="1">
      <alignment horizontal="left" vertical="center" wrapText="1"/>
    </xf>
    <xf numFmtId="49" fontId="26" fillId="11" borderId="1" xfId="6" applyNumberFormat="1" applyFont="1" applyFill="1" applyBorder="1" applyAlignment="1" applyProtection="1">
      <alignment horizontal="left" vertical="center"/>
      <protection locked="0"/>
    </xf>
    <xf numFmtId="0" fontId="58" fillId="11" borderId="1" xfId="1" applyFont="1" applyFill="1" applyBorder="1" applyAlignment="1">
      <alignment vertical="center" wrapText="1"/>
    </xf>
    <xf numFmtId="49" fontId="60" fillId="11" borderId="1" xfId="6" applyNumberFormat="1" applyFont="1" applyFill="1" applyBorder="1" applyAlignment="1" applyProtection="1">
      <alignment horizontal="left" vertical="center"/>
      <protection locked="0"/>
    </xf>
    <xf numFmtId="0" fontId="61" fillId="11" borderId="1" xfId="1" applyFont="1" applyFill="1" applyBorder="1" applyAlignment="1">
      <alignment vertical="center" wrapText="1"/>
    </xf>
    <xf numFmtId="0" fontId="60" fillId="11" borderId="1" xfId="1" applyFont="1" applyFill="1" applyBorder="1" applyAlignment="1">
      <alignment horizontal="left" vertical="center"/>
    </xf>
    <xf numFmtId="49" fontId="26" fillId="11" borderId="1" xfId="6" applyNumberFormat="1" applyFont="1" applyFill="1" applyBorder="1" applyAlignment="1" applyProtection="1">
      <alignment horizontal="left"/>
      <protection locked="0"/>
    </xf>
    <xf numFmtId="172" fontId="0" fillId="0" borderId="0" xfId="0" applyNumberFormat="1"/>
    <xf numFmtId="3" fontId="27" fillId="0" borderId="0" xfId="4" applyNumberFormat="1" applyFont="1"/>
    <xf numFmtId="165" fontId="2" fillId="2" borderId="1" xfId="2" quotePrefix="1" applyFill="1" applyBorder="1" applyAlignment="1"/>
    <xf numFmtId="165" fontId="35" fillId="2" borderId="1" xfId="2" quotePrefix="1" applyFont="1" applyFill="1" applyBorder="1" applyAlignment="1"/>
    <xf numFmtId="0" fontId="0" fillId="0" borderId="0" xfId="0" pivotButton="1"/>
    <xf numFmtId="0" fontId="77" fillId="12" borderId="1" xfId="1" applyFont="1" applyFill="1" applyBorder="1" applyAlignment="1">
      <alignment vertical="center"/>
    </xf>
    <xf numFmtId="0" fontId="78" fillId="12" borderId="1" xfId="6" applyFont="1" applyFill="1" applyBorder="1" applyAlignment="1">
      <alignment vertical="center"/>
    </xf>
    <xf numFmtId="0" fontId="78" fillId="12" borderId="1" xfId="1" applyFont="1" applyFill="1" applyBorder="1" applyAlignment="1">
      <alignment vertical="center"/>
    </xf>
    <xf numFmtId="0" fontId="78" fillId="12" borderId="1" xfId="1" applyFont="1" applyFill="1" applyBorder="1" applyAlignment="1">
      <alignment wrapText="1"/>
    </xf>
    <xf numFmtId="0" fontId="77" fillId="12" borderId="1" xfId="1" applyFont="1" applyFill="1" applyBorder="1"/>
    <xf numFmtId="0" fontId="77" fillId="12" borderId="1" xfId="1" applyFont="1" applyFill="1" applyBorder="1" applyAlignment="1">
      <alignment horizontal="left"/>
    </xf>
    <xf numFmtId="0" fontId="78" fillId="12" borderId="1" xfId="1" applyFont="1" applyFill="1" applyBorder="1" applyAlignment="1">
      <alignment horizontal="center" vertical="center"/>
    </xf>
    <xf numFmtId="170" fontId="78" fillId="12" borderId="1" xfId="1" applyNumberFormat="1" applyFont="1" applyFill="1" applyBorder="1" applyAlignment="1">
      <alignment horizontal="right" vertical="center"/>
    </xf>
    <xf numFmtId="0" fontId="43" fillId="12" borderId="1" xfId="1" applyFont="1" applyFill="1" applyBorder="1"/>
    <xf numFmtId="0" fontId="43" fillId="12" borderId="1" xfId="1" applyFont="1" applyFill="1" applyBorder="1" applyAlignment="1">
      <alignment horizontal="left"/>
    </xf>
    <xf numFmtId="49" fontId="79" fillId="12" borderId="1" xfId="6" applyNumberFormat="1" applyFont="1" applyFill="1" applyBorder="1" applyAlignment="1">
      <alignment horizontal="left"/>
    </xf>
    <xf numFmtId="0" fontId="80" fillId="12" borderId="1" xfId="1" applyFont="1" applyFill="1" applyBorder="1"/>
    <xf numFmtId="49" fontId="43" fillId="12" borderId="1" xfId="6" applyNumberFormat="1" applyFont="1" applyFill="1" applyBorder="1" applyAlignment="1">
      <alignment horizontal="left"/>
    </xf>
    <xf numFmtId="0" fontId="74" fillId="12" borderId="1" xfId="1" applyFont="1" applyFill="1" applyBorder="1" applyAlignment="1">
      <alignment horizontal="left"/>
    </xf>
    <xf numFmtId="49" fontId="77" fillId="12" borderId="1" xfId="6" applyNumberFormat="1" applyFont="1" applyFill="1" applyBorder="1" applyAlignment="1">
      <alignment horizontal="left"/>
    </xf>
    <xf numFmtId="0" fontId="74" fillId="12" borderId="1" xfId="1" applyFont="1" applyFill="1" applyBorder="1"/>
    <xf numFmtId="0" fontId="77" fillId="12" borderId="1" xfId="1" applyFont="1" applyFill="1" applyBorder="1" applyAlignment="1">
      <alignment vertical="center" wrapText="1"/>
    </xf>
    <xf numFmtId="49" fontId="77" fillId="12" borderId="1" xfId="6" applyNumberFormat="1" applyFont="1" applyFill="1" applyBorder="1" applyAlignment="1" applyProtection="1">
      <alignment horizontal="left"/>
      <protection locked="0"/>
    </xf>
    <xf numFmtId="49" fontId="74" fillId="12" borderId="1" xfId="6" applyNumberFormat="1" applyFont="1" applyFill="1" applyBorder="1" applyAlignment="1">
      <alignment horizontal="left"/>
    </xf>
    <xf numFmtId="0" fontId="80" fillId="12" borderId="1" xfId="1" applyFont="1" applyFill="1" applyBorder="1" applyAlignment="1">
      <alignment vertical="center"/>
    </xf>
    <xf numFmtId="0" fontId="43" fillId="12" borderId="1" xfId="1" applyFont="1" applyFill="1" applyBorder="1" applyAlignment="1">
      <alignment horizontal="left" vertical="center"/>
    </xf>
    <xf numFmtId="49" fontId="43" fillId="12" borderId="1" xfId="6" applyNumberFormat="1" applyFont="1" applyFill="1" applyBorder="1" applyAlignment="1" applyProtection="1">
      <alignment horizontal="left"/>
      <protection locked="0"/>
    </xf>
    <xf numFmtId="49" fontId="79" fillId="12" borderId="1" xfId="6" applyNumberFormat="1" applyFont="1" applyFill="1" applyBorder="1" applyAlignment="1">
      <alignment horizontal="right"/>
    </xf>
    <xf numFmtId="49" fontId="43" fillId="12" borderId="1" xfId="6" applyNumberFormat="1" applyFont="1" applyFill="1" applyBorder="1" applyAlignment="1" applyProtection="1">
      <alignment horizontal="left" vertical="center"/>
      <protection locked="0"/>
    </xf>
    <xf numFmtId="49" fontId="79" fillId="12" borderId="1" xfId="6" applyNumberFormat="1" applyFont="1" applyFill="1" applyBorder="1" applyAlignment="1">
      <alignment horizontal="right" vertical="center"/>
    </xf>
    <xf numFmtId="49" fontId="77" fillId="12" borderId="1" xfId="6" applyNumberFormat="1" applyFont="1" applyFill="1" applyBorder="1" applyAlignment="1" applyProtection="1">
      <alignment horizontal="left" vertical="center"/>
      <protection locked="0"/>
    </xf>
    <xf numFmtId="0" fontId="51" fillId="12" borderId="1" xfId="1" applyFont="1" applyFill="1" applyBorder="1" applyAlignment="1">
      <alignment horizontal="left"/>
    </xf>
    <xf numFmtId="170" fontId="51" fillId="12" borderId="1" xfId="1" applyNumberFormat="1" applyFont="1" applyFill="1" applyBorder="1" applyAlignment="1">
      <alignment horizontal="right"/>
    </xf>
    <xf numFmtId="0" fontId="81" fillId="12" borderId="1" xfId="1" applyFont="1" applyFill="1" applyBorder="1" applyAlignment="1">
      <alignment horizontal="left"/>
    </xf>
    <xf numFmtId="170" fontId="81" fillId="12" borderId="1" xfId="1" applyNumberFormat="1" applyFont="1" applyFill="1" applyBorder="1" applyAlignment="1">
      <alignment horizontal="right"/>
    </xf>
    <xf numFmtId="49" fontId="81" fillId="12" borderId="1" xfId="6" applyNumberFormat="1" applyFont="1" applyFill="1" applyBorder="1" applyAlignment="1">
      <alignment horizontal="left"/>
    </xf>
    <xf numFmtId="170" fontId="81" fillId="12" borderId="1" xfId="6" applyNumberFormat="1" applyFont="1" applyFill="1" applyBorder="1" applyAlignment="1">
      <alignment horizontal="right"/>
    </xf>
    <xf numFmtId="0" fontId="51" fillId="12" borderId="1" xfId="1" applyFont="1" applyFill="1" applyBorder="1"/>
    <xf numFmtId="170" fontId="51" fillId="12" borderId="1" xfId="1" applyNumberFormat="1" applyFont="1" applyFill="1" applyBorder="1"/>
    <xf numFmtId="4" fontId="81" fillId="12" borderId="1" xfId="6" applyNumberFormat="1" applyFont="1" applyFill="1" applyBorder="1" applyAlignment="1">
      <alignment horizontal="right"/>
    </xf>
    <xf numFmtId="4" fontId="51" fillId="12" borderId="1" xfId="6" applyNumberFormat="1" applyFont="1" applyFill="1" applyBorder="1" applyAlignment="1">
      <alignment horizontal="right"/>
    </xf>
    <xf numFmtId="4" fontId="51" fillId="12" borderId="1" xfId="1" applyNumberFormat="1" applyFont="1" applyFill="1" applyBorder="1" applyAlignment="1">
      <alignment horizontal="right"/>
    </xf>
    <xf numFmtId="4" fontId="51" fillId="12" borderId="1" xfId="1" applyNumberFormat="1" applyFont="1" applyFill="1" applyBorder="1" applyAlignment="1">
      <alignment horizontal="center"/>
    </xf>
    <xf numFmtId="49" fontId="51" fillId="12" borderId="1" xfId="6" applyNumberFormat="1" applyFont="1" applyFill="1" applyBorder="1"/>
    <xf numFmtId="170" fontId="51" fillId="12" borderId="1" xfId="6" applyNumberFormat="1" applyFont="1" applyFill="1" applyBorder="1" applyAlignment="1">
      <alignment horizontal="right"/>
    </xf>
    <xf numFmtId="49" fontId="51" fillId="12" borderId="1" xfId="6" applyNumberFormat="1" applyFont="1" applyFill="1" applyBorder="1" applyAlignment="1">
      <alignment horizontal="left"/>
    </xf>
    <xf numFmtId="49" fontId="82" fillId="12" borderId="1" xfId="6" applyNumberFormat="1" applyFont="1" applyFill="1" applyBorder="1" applyAlignment="1">
      <alignment horizontal="left"/>
    </xf>
    <xf numFmtId="170" fontId="82" fillId="12" borderId="1" xfId="6" applyNumberFormat="1" applyFont="1" applyFill="1" applyBorder="1" applyAlignment="1">
      <alignment horizontal="right"/>
    </xf>
    <xf numFmtId="170" fontId="82" fillId="12" borderId="1" xfId="1" applyNumberFormat="1" applyFont="1" applyFill="1" applyBorder="1" applyAlignment="1">
      <alignment horizontal="right"/>
    </xf>
    <xf numFmtId="49" fontId="51" fillId="12" borderId="1" xfId="6" applyNumberFormat="1" applyFont="1" applyFill="1" applyBorder="1" applyAlignment="1" applyProtection="1">
      <alignment horizontal="left"/>
      <protection locked="0"/>
    </xf>
    <xf numFmtId="170" fontId="51" fillId="12" borderId="1" xfId="6" applyNumberFormat="1" applyFont="1" applyFill="1" applyBorder="1" applyAlignment="1" applyProtection="1">
      <alignment horizontal="right"/>
      <protection locked="0"/>
    </xf>
    <xf numFmtId="49" fontId="81" fillId="12" borderId="1" xfId="1" applyNumberFormat="1" applyFont="1" applyFill="1" applyBorder="1"/>
    <xf numFmtId="170" fontId="81" fillId="12" borderId="1" xfId="6" applyNumberFormat="1" applyFont="1" applyFill="1" applyBorder="1" applyAlignment="1" applyProtection="1">
      <alignment horizontal="right"/>
      <protection locked="0"/>
    </xf>
    <xf numFmtId="170" fontId="81" fillId="12" borderId="1" xfId="1" applyNumberFormat="1" applyFont="1" applyFill="1" applyBorder="1" applyAlignment="1" applyProtection="1">
      <alignment horizontal="right"/>
      <protection locked="0"/>
    </xf>
    <xf numFmtId="170" fontId="51" fillId="12" borderId="1" xfId="1" applyNumberFormat="1" applyFont="1" applyFill="1" applyBorder="1" applyAlignment="1" applyProtection="1">
      <alignment horizontal="right"/>
      <protection locked="0"/>
    </xf>
    <xf numFmtId="170" fontId="82" fillId="12" borderId="1" xfId="6" applyNumberFormat="1" applyFont="1" applyFill="1" applyBorder="1" applyAlignment="1" applyProtection="1">
      <alignment horizontal="right"/>
      <protection locked="0"/>
    </xf>
    <xf numFmtId="49" fontId="81" fillId="12" borderId="1" xfId="6" applyNumberFormat="1" applyFont="1" applyFill="1" applyBorder="1" applyAlignment="1">
      <alignment horizontal="left" vertical="center" wrapText="1"/>
    </xf>
    <xf numFmtId="170" fontId="81" fillId="12" borderId="1" xfId="6" applyNumberFormat="1" applyFont="1" applyFill="1" applyBorder="1" applyAlignment="1">
      <alignment horizontal="right" vertical="center"/>
    </xf>
    <xf numFmtId="170" fontId="81" fillId="12" borderId="1" xfId="6" applyNumberFormat="1" applyFont="1" applyFill="1" applyBorder="1" applyAlignment="1" applyProtection="1">
      <alignment horizontal="right" vertical="center"/>
      <protection locked="0"/>
    </xf>
    <xf numFmtId="170" fontId="81" fillId="12" borderId="1" xfId="1" applyNumberFormat="1" applyFont="1" applyFill="1" applyBorder="1" applyAlignment="1" applyProtection="1">
      <alignment horizontal="right" vertical="center"/>
      <protection locked="0"/>
    </xf>
    <xf numFmtId="0" fontId="82" fillId="12" borderId="1" xfId="1" applyFont="1" applyFill="1" applyBorder="1" applyAlignment="1">
      <alignment vertical="center" wrapText="1"/>
    </xf>
    <xf numFmtId="0" fontId="81" fillId="12" borderId="1" xfId="1" applyFont="1" applyFill="1" applyBorder="1" applyAlignment="1">
      <alignment vertical="center" wrapText="1"/>
    </xf>
    <xf numFmtId="170" fontId="82" fillId="12" borderId="1" xfId="1" applyNumberFormat="1" applyFont="1" applyFill="1" applyBorder="1" applyAlignment="1" applyProtection="1">
      <alignment horizontal="right"/>
      <protection locked="0"/>
    </xf>
    <xf numFmtId="170" fontId="82" fillId="12" borderId="1" xfId="6" applyNumberFormat="1" applyFont="1" applyFill="1" applyBorder="1" applyAlignment="1" applyProtection="1">
      <alignment horizontal="right" vertical="center"/>
      <protection locked="0"/>
    </xf>
    <xf numFmtId="0" fontId="51" fillId="12" borderId="1" xfId="1" applyFont="1" applyFill="1" applyBorder="1" applyAlignment="1">
      <alignment vertical="center" wrapText="1"/>
    </xf>
    <xf numFmtId="170" fontId="51" fillId="12" borderId="1" xfId="6" applyNumberFormat="1" applyFont="1" applyFill="1" applyBorder="1" applyAlignment="1">
      <alignment horizontal="right" vertical="center"/>
    </xf>
    <xf numFmtId="0" fontId="81" fillId="12" borderId="1" xfId="1" applyFont="1" applyFill="1" applyBorder="1" applyAlignment="1">
      <alignment horizontal="left" vertical="center"/>
    </xf>
    <xf numFmtId="165" fontId="51" fillId="12" borderId="1" xfId="2" applyFont="1" applyFill="1" applyBorder="1" applyAlignment="1">
      <alignment vertical="center" wrapText="1"/>
    </xf>
    <xf numFmtId="170" fontId="51" fillId="12" borderId="1" xfId="1" applyNumberFormat="1" applyFont="1" applyFill="1" applyBorder="1" applyAlignment="1">
      <alignment vertical="center" wrapText="1"/>
    </xf>
    <xf numFmtId="165" fontId="80" fillId="0" borderId="0" xfId="1" applyNumberFormat="1" applyFont="1"/>
    <xf numFmtId="165" fontId="80" fillId="0" borderId="0" xfId="2" applyFont="1" applyAlignment="1">
      <alignment vertical="center"/>
    </xf>
    <xf numFmtId="165" fontId="80" fillId="0" borderId="0" xfId="2" applyFont="1" applyAlignment="1">
      <alignment horizontal="center" vertical="center"/>
    </xf>
    <xf numFmtId="165" fontId="80" fillId="0" borderId="0" xfId="2" applyFont="1" applyAlignment="1"/>
    <xf numFmtId="0" fontId="80" fillId="0" borderId="0" xfId="1" applyFont="1"/>
    <xf numFmtId="170" fontId="80" fillId="0" borderId="0" xfId="1" applyNumberFormat="1" applyFont="1"/>
    <xf numFmtId="165" fontId="80" fillId="0" borderId="0" xfId="2" applyFont="1" applyFill="1" applyAlignment="1"/>
    <xf numFmtId="0" fontId="74" fillId="12" borderId="1" xfId="1" applyFont="1" applyFill="1" applyBorder="1" applyAlignment="1">
      <alignment horizontal="right"/>
    </xf>
    <xf numFmtId="0" fontId="74" fillId="0" borderId="0" xfId="1" applyFont="1"/>
    <xf numFmtId="0" fontId="80" fillId="0" borderId="0" xfId="1" applyFont="1" applyAlignment="1">
      <alignment vertical="center"/>
    </xf>
    <xf numFmtId="165" fontId="80" fillId="0" borderId="0" xfId="2" applyFont="1" applyFill="1" applyAlignment="1">
      <alignment vertical="center"/>
    </xf>
    <xf numFmtId="0" fontId="83" fillId="12" borderId="1" xfId="1" applyFont="1" applyFill="1" applyBorder="1" applyAlignment="1">
      <alignment horizontal="left" vertical="center"/>
    </xf>
    <xf numFmtId="0" fontId="84" fillId="12" borderId="1" xfId="1" applyFont="1" applyFill="1" applyBorder="1" applyAlignment="1">
      <alignment vertical="center" wrapText="1"/>
    </xf>
    <xf numFmtId="170" fontId="84" fillId="12" borderId="1" xfId="6" applyNumberFormat="1" applyFont="1" applyFill="1" applyBorder="1" applyAlignment="1">
      <alignment horizontal="right" vertical="center"/>
    </xf>
    <xf numFmtId="170" fontId="84" fillId="12" borderId="1" xfId="6" applyNumberFormat="1" applyFont="1" applyFill="1" applyBorder="1" applyAlignment="1">
      <alignment horizontal="right"/>
    </xf>
    <xf numFmtId="170" fontId="84" fillId="12" borderId="1" xfId="6" applyNumberFormat="1" applyFont="1" applyFill="1" applyBorder="1" applyAlignment="1" applyProtection="1">
      <alignment horizontal="right"/>
      <protection locked="0"/>
    </xf>
    <xf numFmtId="49" fontId="83" fillId="12" borderId="1" xfId="6" applyNumberFormat="1" applyFont="1" applyFill="1" applyBorder="1" applyAlignment="1" applyProtection="1">
      <alignment horizontal="left"/>
      <protection locked="0"/>
    </xf>
    <xf numFmtId="49" fontId="83" fillId="12" borderId="1" xfId="6" applyNumberFormat="1" applyFont="1" applyFill="1" applyBorder="1" applyAlignment="1">
      <alignment horizontal="left"/>
    </xf>
    <xf numFmtId="49" fontId="84" fillId="12" borderId="1" xfId="6" applyNumberFormat="1" applyFont="1" applyFill="1" applyBorder="1" applyAlignment="1">
      <alignment horizontal="left"/>
    </xf>
    <xf numFmtId="0" fontId="83" fillId="12" borderId="1" xfId="1" applyFont="1" applyFill="1" applyBorder="1" applyAlignment="1">
      <alignment horizontal="left"/>
    </xf>
    <xf numFmtId="170" fontId="84" fillId="12" borderId="1" xfId="1" applyNumberFormat="1" applyFont="1" applyFill="1" applyBorder="1" applyAlignment="1" applyProtection="1">
      <alignment horizontal="right"/>
      <protection locked="0"/>
    </xf>
    <xf numFmtId="49" fontId="83" fillId="12" borderId="1" xfId="6" applyNumberFormat="1" applyFont="1" applyFill="1" applyBorder="1" applyAlignment="1" applyProtection="1">
      <alignment horizontal="left" vertical="center"/>
      <protection locked="0"/>
    </xf>
    <xf numFmtId="170" fontId="84" fillId="12" borderId="1" xfId="6" applyNumberFormat="1" applyFont="1" applyFill="1" applyBorder="1" applyAlignment="1" applyProtection="1">
      <alignment horizontal="right" vertical="center"/>
      <protection locked="0"/>
    </xf>
    <xf numFmtId="170" fontId="84" fillId="12" borderId="1" xfId="1" applyNumberFormat="1" applyFont="1" applyFill="1" applyBorder="1" applyAlignment="1" applyProtection="1">
      <alignment horizontal="right" vertical="center"/>
      <protection locked="0"/>
    </xf>
    <xf numFmtId="0" fontId="2" fillId="12" borderId="0" xfId="1" applyFill="1"/>
    <xf numFmtId="0" fontId="0" fillId="28" borderId="34" xfId="0" applyFill="1" applyBorder="1"/>
    <xf numFmtId="0" fontId="0" fillId="0" borderId="34" xfId="0" applyBorder="1"/>
    <xf numFmtId="172" fontId="0" fillId="28" borderId="35" xfId="0" applyNumberFormat="1" applyFill="1" applyBorder="1"/>
    <xf numFmtId="0" fontId="0" fillId="28" borderId="35" xfId="0" applyFill="1" applyBorder="1"/>
    <xf numFmtId="0" fontId="0" fillId="28" borderId="36" xfId="0" applyFill="1" applyBorder="1"/>
    <xf numFmtId="172" fontId="0" fillId="0" borderId="35" xfId="0" applyNumberFormat="1" applyBorder="1"/>
    <xf numFmtId="0" fontId="0" fillId="0" borderId="35" xfId="0" applyBorder="1"/>
    <xf numFmtId="0" fontId="0" fillId="0" borderId="36" xfId="0" applyBorder="1"/>
    <xf numFmtId="0" fontId="0" fillId="11" borderId="0" xfId="0" applyFill="1"/>
    <xf numFmtId="165" fontId="0" fillId="0" borderId="0" xfId="0" applyNumberFormat="1"/>
    <xf numFmtId="49" fontId="84" fillId="11" borderId="1" xfId="6" applyNumberFormat="1" applyFont="1" applyFill="1" applyBorder="1" applyAlignment="1">
      <alignment horizontal="left"/>
    </xf>
    <xf numFmtId="0" fontId="0" fillId="0" borderId="0" xfId="0" applyNumberFormat="1"/>
    <xf numFmtId="43" fontId="0" fillId="0" borderId="0" xfId="7" applyFont="1"/>
    <xf numFmtId="165" fontId="28" fillId="0" borderId="0" xfId="1" applyNumberFormat="1" applyFont="1"/>
    <xf numFmtId="3" fontId="2" fillId="0" borderId="0" xfId="1" applyNumberFormat="1"/>
    <xf numFmtId="0" fontId="0" fillId="29" borderId="0" xfId="0" applyNumberFormat="1" applyFill="1"/>
    <xf numFmtId="164" fontId="62" fillId="0" borderId="0" xfId="6" applyNumberFormat="1" applyFont="1" applyAlignment="1">
      <alignment horizontal="center"/>
    </xf>
    <xf numFmtId="43" fontId="4" fillId="0" borderId="0" xfId="7" applyFont="1" applyAlignment="1">
      <alignment vertical="center"/>
    </xf>
    <xf numFmtId="0" fontId="2" fillId="0" borderId="0" xfId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top"/>
    </xf>
    <xf numFmtId="4" fontId="2" fillId="27" borderId="11" xfId="1" applyNumberFormat="1" applyFill="1" applyBorder="1" applyAlignment="1">
      <alignment horizontal="center" vertical="center"/>
    </xf>
    <xf numFmtId="4" fontId="2" fillId="27" borderId="30" xfId="1" applyNumberFormat="1" applyFill="1" applyBorder="1" applyAlignment="1">
      <alignment horizontal="center" vertical="center"/>
    </xf>
    <xf numFmtId="4" fontId="2" fillId="27" borderId="12" xfId="1" applyNumberFormat="1" applyFill="1" applyBorder="1" applyAlignment="1">
      <alignment horizontal="center" vertical="center"/>
    </xf>
    <xf numFmtId="0" fontId="44" fillId="16" borderId="21" xfId="1" applyFont="1" applyFill="1" applyBorder="1" applyAlignment="1">
      <alignment horizontal="center"/>
    </xf>
    <xf numFmtId="0" fontId="44" fillId="16" borderId="22" xfId="1" applyFont="1" applyFill="1" applyBorder="1" applyAlignment="1">
      <alignment horizontal="center"/>
    </xf>
    <xf numFmtId="0" fontId="44" fillId="8" borderId="1" xfId="1" applyFont="1" applyFill="1" applyBorder="1" applyAlignment="1">
      <alignment horizontal="left"/>
    </xf>
    <xf numFmtId="0" fontId="44" fillId="4" borderId="1" xfId="1" applyFont="1" applyFill="1" applyBorder="1" applyAlignment="1">
      <alignment horizontal="left"/>
    </xf>
    <xf numFmtId="0" fontId="74" fillId="2" borderId="0" xfId="1" applyFont="1" applyFill="1" applyAlignment="1">
      <alignment horizontal="center"/>
    </xf>
    <xf numFmtId="0" fontId="75" fillId="2" borderId="0" xfId="1" applyFont="1" applyFill="1" applyAlignment="1">
      <alignment horizontal="center"/>
    </xf>
    <xf numFmtId="0" fontId="44" fillId="7" borderId="24" xfId="1" applyFont="1" applyFill="1" applyBorder="1" applyAlignment="1">
      <alignment horizontal="center" vertical="center"/>
    </xf>
    <xf numFmtId="0" fontId="44" fillId="7" borderId="25" xfId="1" applyFont="1" applyFill="1" applyBorder="1" applyAlignment="1">
      <alignment horizontal="center" vertical="center"/>
    </xf>
    <xf numFmtId="0" fontId="44" fillId="7" borderId="26" xfId="1" applyFont="1" applyFill="1" applyBorder="1" applyAlignment="1">
      <alignment horizontal="center" vertical="center"/>
    </xf>
    <xf numFmtId="0" fontId="44" fillId="7" borderId="27" xfId="1" applyFont="1" applyFill="1" applyBorder="1" applyAlignment="1">
      <alignment horizontal="center" vertical="center"/>
    </xf>
    <xf numFmtId="0" fontId="44" fillId="7" borderId="28" xfId="1" applyFont="1" applyFill="1" applyBorder="1" applyAlignment="1">
      <alignment horizontal="center" vertical="center"/>
    </xf>
    <xf numFmtId="0" fontId="44" fillId="7" borderId="29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top"/>
    </xf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8" fillId="2" borderId="0" xfId="1" applyFont="1" applyFill="1" applyAlignment="1">
      <alignment horizontal="left" wrapText="1"/>
    </xf>
    <xf numFmtId="0" fontId="21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0" fontId="30" fillId="7" borderId="1" xfId="4" applyFont="1" applyFill="1" applyBorder="1" applyAlignment="1">
      <alignment horizontal="center" vertical="center"/>
    </xf>
    <xf numFmtId="169" fontId="30" fillId="7" borderId="1" xfId="5" applyFont="1" applyFill="1" applyBorder="1" applyAlignment="1">
      <alignment horizontal="center" vertical="center"/>
    </xf>
    <xf numFmtId="169" fontId="30" fillId="7" borderId="11" xfId="5" applyFont="1" applyFill="1" applyBorder="1" applyAlignment="1">
      <alignment horizontal="center" vertical="center" wrapText="1"/>
    </xf>
    <xf numFmtId="169" fontId="30" fillId="7" borderId="12" xfId="5" applyFont="1" applyFill="1" applyBorder="1" applyAlignment="1">
      <alignment horizontal="center" vertical="center" wrapText="1"/>
    </xf>
    <xf numFmtId="169" fontId="30" fillId="7" borderId="1" xfId="5" applyFont="1" applyFill="1" applyBorder="1" applyAlignment="1">
      <alignment horizontal="center" vertical="center" wrapText="1"/>
    </xf>
    <xf numFmtId="0" fontId="32" fillId="7" borderId="1" xfId="4" applyFont="1" applyFill="1" applyBorder="1" applyAlignment="1">
      <alignment horizontal="center" vertical="center" wrapText="1"/>
    </xf>
    <xf numFmtId="0" fontId="46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/>
    </xf>
    <xf numFmtId="0" fontId="48" fillId="2" borderId="0" xfId="1" applyFont="1" applyFill="1" applyAlignment="1">
      <alignment horizontal="left" vertical="center" wrapText="1"/>
    </xf>
    <xf numFmtId="0" fontId="5" fillId="0" borderId="3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33" xfId="1" applyFont="1" applyBorder="1" applyAlignment="1">
      <alignment horizontal="center"/>
    </xf>
    <xf numFmtId="0" fontId="45" fillId="4" borderId="21" xfId="1" applyFont="1" applyFill="1" applyBorder="1" applyAlignment="1">
      <alignment horizontal="center"/>
    </xf>
    <xf numFmtId="0" fontId="45" fillId="4" borderId="22" xfId="1" applyFont="1" applyFill="1" applyBorder="1" applyAlignment="1">
      <alignment horizontal="center"/>
    </xf>
    <xf numFmtId="0" fontId="45" fillId="3" borderId="21" xfId="1" applyFont="1" applyFill="1" applyBorder="1" applyAlignment="1">
      <alignment horizontal="center" vertical="center"/>
    </xf>
    <xf numFmtId="0" fontId="45" fillId="3" borderId="4" xfId="1" applyFont="1" applyFill="1" applyBorder="1" applyAlignment="1">
      <alignment horizontal="center" vertical="center"/>
    </xf>
    <xf numFmtId="0" fontId="45" fillId="3" borderId="22" xfId="1" applyFont="1" applyFill="1" applyBorder="1" applyAlignment="1">
      <alignment horizontal="center" vertical="center"/>
    </xf>
    <xf numFmtId="0" fontId="45" fillId="16" borderId="21" xfId="1" applyFont="1" applyFill="1" applyBorder="1" applyAlignment="1">
      <alignment horizontal="center"/>
    </xf>
    <xf numFmtId="0" fontId="45" fillId="16" borderId="22" xfId="1" applyFont="1" applyFill="1" applyBorder="1" applyAlignment="1">
      <alignment horizontal="center"/>
    </xf>
    <xf numFmtId="0" fontId="44" fillId="3" borderId="21" xfId="1" applyFont="1" applyFill="1" applyBorder="1" applyAlignment="1">
      <alignment horizontal="center" vertical="center"/>
    </xf>
    <xf numFmtId="0" fontId="44" fillId="3" borderId="4" xfId="1" applyFont="1" applyFill="1" applyBorder="1" applyAlignment="1">
      <alignment horizontal="center" vertical="center"/>
    </xf>
    <xf numFmtId="0" fontId="44" fillId="3" borderId="22" xfId="1" applyFont="1" applyFill="1" applyBorder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2" fillId="0" borderId="0" xfId="1" applyAlignment="1">
      <alignment horizontal="center" wrapText="1"/>
    </xf>
    <xf numFmtId="0" fontId="17" fillId="2" borderId="0" xfId="1" applyFont="1" applyFill="1" applyAlignment="1">
      <alignment horizontal="center" vertical="center"/>
    </xf>
    <xf numFmtId="0" fontId="17" fillId="8" borderId="1" xfId="1" applyFont="1" applyFill="1" applyBorder="1" applyAlignment="1">
      <alignment horizontal="center" vertical="center"/>
    </xf>
    <xf numFmtId="165" fontId="17" fillId="0" borderId="21" xfId="2" applyFont="1" applyFill="1" applyBorder="1" applyAlignment="1">
      <alignment horizontal="center" vertical="center"/>
    </xf>
    <xf numFmtId="165" fontId="17" fillId="0" borderId="22" xfId="2" applyFont="1" applyFill="1" applyBorder="1" applyAlignment="1">
      <alignment horizontal="center" vertical="center"/>
    </xf>
    <xf numFmtId="165" fontId="17" fillId="0" borderId="1" xfId="2" applyFont="1" applyFill="1" applyBorder="1" applyAlignment="1">
      <alignment horizontal="center" vertical="center"/>
    </xf>
    <xf numFmtId="4" fontId="4" fillId="25" borderId="21" xfId="1" applyNumberFormat="1" applyFont="1" applyFill="1" applyBorder="1" applyAlignment="1">
      <alignment horizontal="center" vertical="center" wrapText="1"/>
    </xf>
    <xf numFmtId="4" fontId="4" fillId="25" borderId="22" xfId="1" applyNumberFormat="1" applyFont="1" applyFill="1" applyBorder="1" applyAlignment="1">
      <alignment horizontal="center" vertical="center" wrapText="1"/>
    </xf>
    <xf numFmtId="166" fontId="4" fillId="2" borderId="21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166" fontId="4" fillId="2" borderId="22" xfId="2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0" fontId="17" fillId="25" borderId="21" xfId="1" applyFont="1" applyFill="1" applyBorder="1" applyAlignment="1">
      <alignment horizontal="center" vertical="center" wrapText="1"/>
    </xf>
    <xf numFmtId="0" fontId="17" fillId="25" borderId="4" xfId="1" applyFont="1" applyFill="1" applyBorder="1" applyAlignment="1">
      <alignment horizontal="center" vertical="center" wrapText="1"/>
    </xf>
    <xf numFmtId="0" fontId="17" fillId="25" borderId="22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17" fillId="8" borderId="21" xfId="1" applyFont="1" applyFill="1" applyBorder="1" applyAlignment="1">
      <alignment horizontal="center" vertical="center" wrapText="1"/>
    </xf>
    <xf numFmtId="0" fontId="17" fillId="8" borderId="22" xfId="1" applyFont="1" applyFill="1" applyBorder="1" applyAlignment="1">
      <alignment horizontal="center" vertical="center" wrapText="1"/>
    </xf>
    <xf numFmtId="165" fontId="4" fillId="2" borderId="0" xfId="2" applyFont="1" applyFill="1" applyAlignment="1">
      <alignment horizontal="center" vertical="center"/>
    </xf>
    <xf numFmtId="166" fontId="4" fillId="8" borderId="0" xfId="2" applyNumberFormat="1" applyFont="1" applyFill="1" applyAlignment="1">
      <alignment horizontal="center" vertical="center"/>
    </xf>
    <xf numFmtId="165" fontId="17" fillId="2" borderId="0" xfId="1" applyNumberFormat="1" applyFont="1" applyFill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0" fontId="17" fillId="8" borderId="11" xfId="1" applyFont="1" applyFill="1" applyBorder="1" applyAlignment="1">
      <alignment horizontal="center" vertical="center"/>
    </xf>
    <xf numFmtId="165" fontId="4" fillId="2" borderId="21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6" fontId="4" fillId="2" borderId="21" xfId="2" applyNumberFormat="1" applyFont="1" applyFill="1" applyBorder="1" applyAlignment="1">
      <alignment horizontal="left" vertical="center"/>
    </xf>
    <xf numFmtId="166" fontId="4" fillId="2" borderId="4" xfId="2" applyNumberFormat="1" applyFont="1" applyFill="1" applyBorder="1" applyAlignment="1">
      <alignment horizontal="left" vertical="center"/>
    </xf>
    <xf numFmtId="166" fontId="4" fillId="2" borderId="22" xfId="2" applyNumberFormat="1" applyFont="1" applyFill="1" applyBorder="1" applyAlignment="1">
      <alignment horizontal="left" vertical="center"/>
    </xf>
    <xf numFmtId="165" fontId="65" fillId="4" borderId="21" xfId="2" applyFont="1" applyFill="1" applyBorder="1" applyAlignment="1">
      <alignment horizontal="center" vertical="center"/>
    </xf>
    <xf numFmtId="165" fontId="65" fillId="4" borderId="22" xfId="2" applyFont="1" applyFill="1" applyBorder="1" applyAlignment="1">
      <alignment horizontal="center" vertical="center"/>
    </xf>
    <xf numFmtId="0" fontId="17" fillId="20" borderId="21" xfId="1" applyFont="1" applyFill="1" applyBorder="1" applyAlignment="1">
      <alignment horizontal="center" vertical="center"/>
    </xf>
    <xf numFmtId="0" fontId="17" fillId="20" borderId="22" xfId="1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70" fillId="5" borderId="21" xfId="1" applyFont="1" applyFill="1" applyBorder="1" applyAlignment="1">
      <alignment horizontal="center" vertical="center"/>
    </xf>
    <xf numFmtId="0" fontId="70" fillId="5" borderId="4" xfId="1" applyFont="1" applyFill="1" applyBorder="1" applyAlignment="1">
      <alignment horizontal="center" vertical="center"/>
    </xf>
    <xf numFmtId="0" fontId="70" fillId="5" borderId="10" xfId="1" applyFont="1" applyFill="1" applyBorder="1" applyAlignment="1">
      <alignment horizontal="center" vertical="center"/>
    </xf>
    <xf numFmtId="0" fontId="11" fillId="8" borderId="21" xfId="1" applyFont="1" applyFill="1" applyBorder="1" applyAlignment="1">
      <alignment horizontal="center" vertical="center"/>
    </xf>
    <xf numFmtId="0" fontId="11" fillId="8" borderId="22" xfId="1" applyFont="1" applyFill="1" applyBorder="1" applyAlignment="1">
      <alignment horizontal="center" vertical="center"/>
    </xf>
    <xf numFmtId="3" fontId="31" fillId="12" borderId="1" xfId="4" applyNumberFormat="1" applyFont="1" applyFill="1" applyBorder="1" applyAlignment="1">
      <alignment horizontal="left" indent="1"/>
    </xf>
    <xf numFmtId="3" fontId="31" fillId="12" borderId="1" xfId="5" applyNumberFormat="1" applyFont="1" applyFill="1" applyBorder="1" applyAlignment="1">
      <alignment horizontal="right"/>
    </xf>
    <xf numFmtId="3" fontId="30" fillId="12" borderId="1" xfId="5" applyNumberFormat="1" applyFont="1" applyFill="1" applyBorder="1" applyAlignment="1">
      <alignment horizontal="right" vertical="center"/>
    </xf>
    <xf numFmtId="3" fontId="30" fillId="12" borderId="1" xfId="5" applyNumberFormat="1" applyFont="1" applyFill="1" applyBorder="1" applyAlignment="1">
      <alignment horizontal="right"/>
    </xf>
    <xf numFmtId="3" fontId="31" fillId="12" borderId="1" xfId="5" applyNumberFormat="1" applyFont="1" applyFill="1" applyBorder="1" applyAlignment="1">
      <alignment vertical="center" readingOrder="1"/>
    </xf>
    <xf numFmtId="3" fontId="30" fillId="12" borderId="1" xfId="5" applyNumberFormat="1" applyFont="1" applyFill="1" applyBorder="1" applyAlignment="1">
      <alignment vertical="center" readingOrder="1"/>
    </xf>
    <xf numFmtId="0" fontId="25" fillId="12" borderId="0" xfId="1" applyFont="1" applyFill="1" applyAlignment="1">
      <alignment horizontal="center" vertical="center" wrapText="1"/>
    </xf>
    <xf numFmtId="0" fontId="30" fillId="12" borderId="0" xfId="1" applyFont="1" applyFill="1" applyAlignment="1">
      <alignment vertical="center"/>
    </xf>
    <xf numFmtId="169" fontId="30" fillId="12" borderId="1" xfId="5" applyFont="1" applyFill="1" applyBorder="1" applyAlignment="1">
      <alignment horizontal="center" vertical="center" wrapText="1"/>
    </xf>
    <xf numFmtId="168" fontId="30" fillId="12" borderId="1" xfId="5" applyNumberFormat="1" applyFont="1" applyFill="1" applyBorder="1" applyAlignment="1">
      <alignment vertical="center"/>
    </xf>
    <xf numFmtId="3" fontId="30" fillId="12" borderId="1" xfId="5" applyNumberFormat="1" applyFont="1" applyFill="1" applyBorder="1" applyAlignment="1">
      <alignment vertical="center"/>
    </xf>
    <xf numFmtId="3" fontId="31" fillId="12" borderId="1" xfId="5" applyNumberFormat="1" applyFont="1" applyFill="1" applyBorder="1" applyAlignment="1"/>
    <xf numFmtId="3" fontId="21" fillId="12" borderId="0" xfId="4" applyNumberFormat="1" applyFont="1" applyFill="1"/>
    <xf numFmtId="0" fontId="21" fillId="12" borderId="0" xfId="1" applyFont="1" applyFill="1" applyAlignment="1">
      <alignment vertical="center"/>
    </xf>
    <xf numFmtId="3" fontId="21" fillId="12" borderId="0" xfId="1" applyNumberFormat="1" applyFont="1" applyFill="1" applyAlignment="1">
      <alignment vertical="center"/>
    </xf>
    <xf numFmtId="0" fontId="21" fillId="12" borderId="0" xfId="1" applyFont="1" applyFill="1"/>
    <xf numFmtId="0" fontId="21" fillId="12" borderId="0" xfId="1" applyFont="1" applyFill="1" applyAlignment="1">
      <alignment vertical="top"/>
    </xf>
    <xf numFmtId="169" fontId="22" fillId="12" borderId="0" xfId="5" applyFont="1" applyFill="1" applyAlignment="1">
      <alignment horizontal="center"/>
    </xf>
    <xf numFmtId="169" fontId="21" fillId="12" borderId="0" xfId="5" applyFont="1" applyFill="1" applyAlignment="1">
      <alignment horizontal="center"/>
    </xf>
    <xf numFmtId="169" fontId="27" fillId="12" borderId="0" xfId="5" applyFont="1" applyFill="1" applyAlignment="1">
      <alignment horizontal="right"/>
    </xf>
    <xf numFmtId="169" fontId="27" fillId="12" borderId="0" xfId="5" applyFont="1" applyFill="1" applyAlignment="1"/>
    <xf numFmtId="3" fontId="30" fillId="30" borderId="1" xfId="5" applyNumberFormat="1" applyFont="1" applyFill="1" applyBorder="1" applyAlignment="1">
      <alignment horizontal="right" vertical="center"/>
    </xf>
    <xf numFmtId="0" fontId="40" fillId="12" borderId="1" xfId="4" applyFont="1" applyFill="1" applyBorder="1" applyAlignment="1">
      <alignment vertical="center" wrapText="1"/>
    </xf>
    <xf numFmtId="0" fontId="2" fillId="12" borderId="1" xfId="1" applyFill="1" applyBorder="1"/>
    <xf numFmtId="164" fontId="2" fillId="12" borderId="1" xfId="2" applyNumberFormat="1" applyFill="1" applyBorder="1" applyAlignment="1"/>
    <xf numFmtId="10" fontId="2" fillId="12" borderId="1" xfId="1" applyNumberFormat="1" applyFill="1" applyBorder="1"/>
  </cellXfs>
  <cellStyles count="8">
    <cellStyle name="Normal" xfId="0" builtinId="0"/>
    <cellStyle name="Normal 2" xfId="1"/>
    <cellStyle name="Normal 2 2" xfId="4"/>
    <cellStyle name="Normal_MAPA DE EVOLUÇÃO DE RECEITAS" xfId="6"/>
    <cellStyle name="Percentagem 2" xfId="3"/>
    <cellStyle name="Vírgula" xfId="7" builtinId="3"/>
    <cellStyle name="Vírgula 2" xfId="2"/>
    <cellStyle name="Vírgula 3" xfId="5"/>
  </cellStyles>
  <dxfs count="31">
    <dxf>
      <numFmt numFmtId="0" formatCode="General"/>
    </dxf>
    <dxf>
      <numFmt numFmtId="0" formatCode="General"/>
    </dxf>
    <dxf>
      <numFmt numFmtId="170" formatCode="#,##0.00;[Red]#,##0.00"/>
    </dxf>
    <dxf>
      <font>
        <b val="0"/>
        <i val="0"/>
        <strike val="0"/>
        <u val="none"/>
        <sz val="11"/>
        <color auto="1"/>
        <name val="Arial"/>
      </font>
      <fill>
        <patternFill patternType="solid">
          <bgColor rgb="FFFFFF00"/>
        </patternFill>
      </fill>
      <alignment horizontal="general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</font>
      <numFmt numFmtId="30" formatCode="@"/>
      <fill>
        <patternFill patternType="solid">
          <bgColor rgb="FFFFFF00"/>
        </patternFill>
      </fill>
      <alignment horizontal="left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numFmt numFmtId="172" formatCode="&quot;$&quot;#,##0.00"/>
    </dxf>
    <dxf>
      <numFmt numFmtId="172" formatCode="&quot;$&quot;#,##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72" formatCode="&quot;$&quot;#,##0.0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FF"/>
        </patternFill>
      </fill>
      <alignment horizontal="general" vertical="top" textRotation="0" wrapText="1" shrinkToFit="0" readingOrder="0"/>
      <border>
        <left/>
        <right/>
        <top style="medium">
          <color rgb="FFB8D0E0"/>
        </top>
        <bottom/>
      </border>
    </dxf>
    <dxf>
      <fill>
        <patternFill patternType="solid">
          <bgColor rgb="FFFFFFFF"/>
        </patternFill>
      </fill>
      <alignment horizontal="general" vertical="top" textRotation="0" wrapText="1" shrinkToFit="0" readingOrder="0"/>
      <border>
        <left/>
        <right/>
        <top style="medium">
          <color rgb="FFB8D0E0"/>
        </top>
        <bottom/>
      </border>
    </dxf>
    <dxf>
      <fill>
        <patternFill patternType="solid">
          <bgColor rgb="FFFFFFFF"/>
        </patternFill>
      </fill>
      <alignment horizontal="general" vertical="top" textRotation="0" wrapText="1" shrinkToFit="0" readingOrder="0"/>
      <border>
        <left/>
        <right/>
        <top style="medium">
          <color rgb="FFB8D0E0"/>
        </top>
        <bottom/>
      </border>
    </dxf>
    <dxf>
      <fill>
        <patternFill patternType="solid">
          <bgColor rgb="FFFFFFFF"/>
        </patternFill>
      </fill>
      <alignment horizontal="general" vertical="top" textRotation="0" wrapText="1" shrinkToFit="0" readingOrder="0"/>
      <border>
        <left/>
        <right/>
        <top style="medium">
          <color rgb="FFB8D0E0"/>
        </top>
        <bottom/>
      </border>
    </dxf>
    <dxf>
      <font>
        <b val="0"/>
        <i val="0"/>
        <strike val="0"/>
        <u val="none"/>
        <sz val="11"/>
        <color indexed="8"/>
        <name val="Calibri"/>
      </font>
      <numFmt numFmtId="165" formatCode="_-* #,##0.00\ _€_-;\-* #,##0.00\ _€_-;_-* &quot;-&quot;??\ _€_-;_-@_-"/>
      <alignment horizontal="general" vertical="bottom" textRotation="0" wrapText="0" shrinkToFit="0" readingOrder="0"/>
    </dxf>
    <dxf>
      <font>
        <b val="0"/>
        <i val="0"/>
        <strike val="0"/>
        <u val="none"/>
        <sz val="11"/>
        <color indexed="8"/>
        <name val="Calibri"/>
      </font>
      <alignment horizontal="general" vertical="bottom" textRotation="0" wrapText="0" shrinkToFit="0" readingOrder="0"/>
    </dxf>
    <dxf>
      <fill>
        <patternFill patternType="solid">
          <bgColor rgb="FFFFFFFF"/>
        </patternFill>
      </fill>
      <alignment horizontal="general" vertical="top" textRotation="0" wrapText="1" shrinkToFit="0" readingOrder="0"/>
    </dxf>
    <dxf>
      <font>
        <b val="0"/>
        <i val="0"/>
        <strike val="0"/>
        <u val="none"/>
        <sz val="11"/>
        <color indexed="8"/>
        <name val="Calibri"/>
      </font>
      <alignment horizontal="general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0</xdr:row>
      <xdr:rowOff>66675</xdr:rowOff>
    </xdr:from>
    <xdr:to>
      <xdr:col>7</xdr:col>
      <xdr:colOff>95250</xdr:colOff>
      <xdr:row>3</xdr:row>
      <xdr:rowOff>19050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6675"/>
          <a:ext cx="790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971550</xdr:colOff>
      <xdr:row>4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95250"/>
          <a:ext cx="914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757443</xdr:colOff>
      <xdr:row>3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114300"/>
          <a:ext cx="595518" cy="43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495860</xdr:colOff>
      <xdr:row>1</xdr:row>
      <xdr:rowOff>26334</xdr:rowOff>
    </xdr:from>
    <xdr:to>
      <xdr:col>0</xdr:col>
      <xdr:colOff>1029260</xdr:colOff>
      <xdr:row>3</xdr:row>
      <xdr:rowOff>16809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19075"/>
          <a:ext cx="533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85725</xdr:rowOff>
    </xdr:from>
    <xdr:to>
      <xdr:col>2</xdr:col>
      <xdr:colOff>971550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85725"/>
          <a:ext cx="1000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283152</xdr:colOff>
      <xdr:row>0</xdr:row>
      <xdr:rowOff>160194</xdr:rowOff>
    </xdr:from>
    <xdr:to>
      <xdr:col>0</xdr:col>
      <xdr:colOff>1140402</xdr:colOff>
      <xdr:row>3</xdr:row>
      <xdr:rowOff>141144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3152" y="160194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104775</xdr:rowOff>
    </xdr:from>
    <xdr:to>
      <xdr:col>0</xdr:col>
      <xdr:colOff>828675</xdr:colOff>
      <xdr:row>2</xdr:row>
      <xdr:rowOff>95250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104775"/>
          <a:ext cx="533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334736</xdr:colOff>
      <xdr:row>1</xdr:row>
      <xdr:rowOff>110558</xdr:rowOff>
    </xdr:from>
    <xdr:to>
      <xdr:col>2</xdr:col>
      <xdr:colOff>401411</xdr:colOff>
      <xdr:row>4</xdr:row>
      <xdr:rowOff>120083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0480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1</xdr:row>
      <xdr:rowOff>76200</xdr:rowOff>
    </xdr:from>
    <xdr:to>
      <xdr:col>4</xdr:col>
      <xdr:colOff>466725</xdr:colOff>
      <xdr:row>4</xdr:row>
      <xdr:rowOff>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1925" y="228600"/>
          <a:ext cx="771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878205</xdr:colOff>
      <xdr:row>16</xdr:row>
      <xdr:rowOff>123825</xdr:rowOff>
    </xdr:from>
    <xdr:to>
      <xdr:col>11</xdr:col>
      <xdr:colOff>56616</xdr:colOff>
      <xdr:row>18</xdr:row>
      <xdr:rowOff>123825</xdr:rowOff>
    </xdr:to>
    <xdr:sp macro="" textlink="" fLocksText="0">
      <xdr:nvSpPr>
        <xdr:cNvPr id="3" name="Seta para baixo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258300" y="3228975"/>
          <a:ext cx="0" cy="381000"/>
        </a:xfrm>
        <a:prstGeom prst="down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pt-PT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334736</xdr:colOff>
      <xdr:row>0</xdr:row>
      <xdr:rowOff>0</xdr:rowOff>
    </xdr:from>
    <xdr:to>
      <xdr:col>0</xdr:col>
      <xdr:colOff>0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la.Rodrigues/Downloads/Orc2023.cleaned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CMSM / UGA - Anila Maria Correia Rodrigues" refreshedDate="45226.665304282411" createdVersion="6" refreshedVersion="6" minRefreshableVersion="3" recordCount="43">
  <cacheSource type="worksheet">
    <worksheetSource name="_xlnm._FilterDatabase" sheet="#REF" r:id="rId1"/>
  </cacheSource>
  <cacheFields count="1">
    <cacheField name="j" numFmtId="0">
      <sharedItems containsMixedTypes="1" containsNumber="1" containsInteger="1" minValue="20" maxValue="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MSM / UGA - Anila Maria Correia Rodrigues" refreshedDate="45226.66530439815" createdVersion="5" refreshedVersion="6" minRefreshableVersion="3" recordCount="60">
  <cacheSource type="worksheet">
    <worksheetSource name="Tabela1"/>
  </cacheSource>
  <cacheFields count="6">
    <cacheField name="emprestimo" numFmtId="0">
      <sharedItems/>
    </cacheField>
    <cacheField name="amortização" numFmtId="165">
      <sharedItems containsSemiMixedTypes="0" containsString="0" containsNumber="1" containsInteger="1" minValue="212286" maxValue="712449"/>
    </cacheField>
    <cacheField name="prestação" numFmtId="165">
      <sharedItems containsSemiMixedTypes="0" containsString="0" containsNumber="1" containsInteger="1" minValue="448570" maxValue="777399"/>
    </cacheField>
    <cacheField name="juros" numFmtId="165">
      <sharedItems containsSemiMixedTypes="0" containsString="0" containsNumber="1" containsInteger="1" minValue="18275" maxValue="236284"/>
    </cacheField>
    <cacheField name="capital em divida" numFmtId="165">
      <sharedItems containsSemiMixedTypes="0" containsString="0" containsNumber="1" containsInteger="1" minValue="13625525" maxValue="50771451"/>
    </cacheField>
    <cacheField name="mês" numFmtId="165">
      <sharedItems count="12">
        <s v="JAN"/>
        <s v="fev"/>
        <s v="mar"/>
        <s v="abr"/>
        <s v="mai"/>
        <s v="jun"/>
        <s v="jul"/>
        <s v="ago"/>
        <s v="set"/>
        <s v="out"/>
        <s v="nov"/>
        <s v="dez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MSM / UGA - Anila Maria Correia Rodrigues" refreshedDate="45226.665304629627" createdVersion="7" refreshedVersion="6" minRefreshableVersion="3" recordCount="44">
  <cacheSource type="worksheet">
    <worksheetSource name="Table2"/>
  </cacheSource>
  <cacheFields count="7">
    <cacheField name="Rubrica" numFmtId="0">
      <sharedItems/>
    </cacheField>
    <cacheField name="Nome" numFmtId="0">
      <sharedItems/>
    </cacheField>
    <cacheField name="Valor" numFmtId="170">
      <sharedItems containsSemiMixedTypes="0" containsString="0" containsNumber="1" containsInteger="1" minValue="110000" maxValue="65000000"/>
    </cacheField>
    <cacheField name="CC" numFmtId="0">
      <sharedItems containsNonDate="0" containsString="0" containsBlank="1"/>
    </cacheField>
    <cacheField name="cod" numFmtId="0">
      <sharedItems containsSemiMixedTypes="0" containsString="0" containsNumber="1" containsInteger="1" minValue="4" maxValue="23"/>
    </cacheField>
    <cacheField name="Column1" numFmtId="0">
      <sharedItems/>
    </cacheField>
    <cacheField name="Column2" numFmtId="0">
      <sharedItems count="5">
        <s v="03.01"/>
        <s v="02.01"/>
        <s v="02.08"/>
        <s v="02.07"/>
        <s v="02.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MSM / UGA - Anila Maria Correia Rodrigues" refreshedDate="45226.665304861112" createdVersion="7" refreshedVersion="6" minRefreshableVersion="3" recordCount="44">
  <cacheSource type="worksheet">
    <worksheetSource name="Table3"/>
  </cacheSource>
  <cacheFields count="6">
    <cacheField name="nome" numFmtId="0">
      <sharedItems/>
    </cacheField>
    <cacheField name="valor" numFmtId="172">
      <sharedItems containsSemiMixedTypes="0" containsString="0" containsNumber="1" containsInteger="1" minValue="110000" maxValue="65000000"/>
    </cacheField>
    <cacheField name="rubrica" numFmtId="0">
      <sharedItems count="9">
        <s v="03.01.01.01.06.01"/>
        <s v="03.01.04.04.02.01"/>
        <s v="02.01.01.02.07"/>
        <s v="02.08.02"/>
        <s v="02.07.02.01"/>
        <s v="03.01.01.02.04.01"/>
        <s v="02.02.02.01.03.01"/>
        <s v="03.01.01.01.04.01"/>
        <s v="03.01.01.02..01.03.01" u="1"/>
      </sharedItems>
    </cacheField>
    <cacheField name="cc" numFmtId="0">
      <sharedItems count="11">
        <s v="Dir.Ambiente e Saneamento "/>
        <s v="Dir. Turismo, Investimento e Emprendedorismo"/>
        <s v="Dir. Proteção Civil"/>
        <s v="Direção da Educação, Formação Profissional, Emprego"/>
        <s v="Direção de Inovação e Desporto"/>
        <s v="Dir. Juventude e Cultura "/>
        <s v="Direcao da Familia, Inclusão, Genero e Saúde"/>
        <s v="Dir. do Comércio, Indústria, Transporte Feiras e Pesca"/>
        <s v="Direção de Obras"/>
        <s v="Dir. da Agricultura, Pecuaria e Floresta" u="1"/>
        <e v="#N/A" u="1"/>
      </sharedItems>
    </cacheField>
    <cacheField name="Column1" numFmtId="0">
      <sharedItems containsSemiMixedTypes="0" containsString="0" containsNumber="1" containsInteger="1" minValue="20" maxValue="70"/>
    </cacheField>
    <cacheField name="Column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Emp001"/>
    <n v="668294"/>
    <n v="777399"/>
    <n v="109105"/>
    <n v="33048964"/>
    <x v="0"/>
  </r>
  <r>
    <s v="Emp001"/>
    <n v="672192"/>
    <n v="777399"/>
    <n v="105207"/>
    <n v="32464351"/>
    <x v="1"/>
  </r>
  <r>
    <s v="Emp001"/>
    <n v="676113"/>
    <n v="777399"/>
    <n v="101286"/>
    <n v="31876327"/>
    <x v="2"/>
  </r>
  <r>
    <s v="Emp001"/>
    <n v="680057"/>
    <n v="777399"/>
    <n v="97342"/>
    <n v="31284873"/>
    <x v="3"/>
  </r>
  <r>
    <s v="Emp001"/>
    <n v="684024"/>
    <n v="777399"/>
    <n v="93375"/>
    <n v="30689969"/>
    <x v="4"/>
  </r>
  <r>
    <s v="Emp001"/>
    <n v="688014"/>
    <n v="777399"/>
    <n v="89385"/>
    <n v="30091595"/>
    <x v="5"/>
  </r>
  <r>
    <s v="Emp001"/>
    <n v="692028"/>
    <n v="777399"/>
    <n v="85371"/>
    <n v="29489730"/>
    <x v="6"/>
  </r>
  <r>
    <s v="Emp001"/>
    <n v="696065"/>
    <n v="777399"/>
    <n v="81334"/>
    <n v="28884354"/>
    <x v="7"/>
  </r>
  <r>
    <s v="Emp001"/>
    <n v="700125"/>
    <n v="777399"/>
    <n v="77274"/>
    <n v="28275447"/>
    <x v="8"/>
  </r>
  <r>
    <s v="Emp001"/>
    <n v="704209"/>
    <n v="777399"/>
    <n v="73190"/>
    <n v="27662988"/>
    <x v="9"/>
  </r>
  <r>
    <s v="Emp001"/>
    <n v="708317"/>
    <n v="777399"/>
    <n v="69082"/>
    <n v="27046956"/>
    <x v="10"/>
  </r>
  <r>
    <s v="Emp001"/>
    <n v="712449"/>
    <n v="777399"/>
    <n v="64950"/>
    <n v="26427331"/>
    <x v="11"/>
  </r>
  <r>
    <s v="Emp002"/>
    <n v="432696"/>
    <n v="474957"/>
    <n v="42261"/>
    <n v="17983525"/>
    <x v="0"/>
  </r>
  <r>
    <s v="Emp002"/>
    <n v="434824"/>
    <n v="474957"/>
    <n v="40133"/>
    <n v="17596987"/>
    <x v="1"/>
  </r>
  <r>
    <s v="Emp002"/>
    <n v="436962"/>
    <n v="474957"/>
    <n v="37995"/>
    <n v="17208549"/>
    <x v="2"/>
  </r>
  <r>
    <s v="Emp002"/>
    <n v="439110"/>
    <n v="474957"/>
    <n v="35847"/>
    <n v="16818201"/>
    <x v="3"/>
  </r>
  <r>
    <s v="Emp002"/>
    <n v="441269"/>
    <n v="474957"/>
    <n v="33688"/>
    <n v="16425934"/>
    <x v="4"/>
  </r>
  <r>
    <s v="Emp002"/>
    <n v="443439"/>
    <n v="474957"/>
    <n v="31518"/>
    <n v="16031738"/>
    <x v="5"/>
  </r>
  <r>
    <s v="Emp002"/>
    <n v="445619"/>
    <n v="474957"/>
    <n v="29338"/>
    <n v="15635604"/>
    <x v="6"/>
  </r>
  <r>
    <s v="Emp002"/>
    <n v="447810"/>
    <n v="474957"/>
    <n v="27147"/>
    <n v="15237522"/>
    <x v="7"/>
  </r>
  <r>
    <s v="Emp002"/>
    <n v="450012"/>
    <n v="474957"/>
    <n v="24945"/>
    <n v="14837483"/>
    <x v="8"/>
  </r>
  <r>
    <s v="Emp002"/>
    <n v="452224"/>
    <n v="474957"/>
    <n v="22733"/>
    <n v="14435477"/>
    <x v="9"/>
  </r>
  <r>
    <s v="Emp002"/>
    <n v="454448"/>
    <n v="474957"/>
    <n v="20509"/>
    <n v="14031494"/>
    <x v="10"/>
  </r>
  <r>
    <s v="Emp002"/>
    <n v="456682"/>
    <n v="474957"/>
    <n v="18275"/>
    <n v="13625525"/>
    <x v="11"/>
  </r>
  <r>
    <s v="emp004"/>
    <n v="373672"/>
    <n v="508592"/>
    <n v="134920"/>
    <n v="31150205"/>
    <x v="0"/>
  </r>
  <r>
    <s v="emp004"/>
    <n v="375852"/>
    <n v="508592"/>
    <n v="132740"/>
    <n v="30823322"/>
    <x v="1"/>
  </r>
  <r>
    <s v="emp004"/>
    <n v="378044"/>
    <n v="508592"/>
    <n v="130548"/>
    <n v="30494533"/>
    <x v="2"/>
  </r>
  <r>
    <s v="emp004"/>
    <n v="380249"/>
    <n v="508592"/>
    <n v="128343"/>
    <n v="30163826"/>
    <x v="3"/>
  </r>
  <r>
    <s v="emp004"/>
    <n v="382467"/>
    <n v="508592"/>
    <n v="126125"/>
    <n v="29831190"/>
    <x v="4"/>
  </r>
  <r>
    <s v="emp004"/>
    <n v="384698"/>
    <n v="508592"/>
    <n v="123894"/>
    <n v="29496613"/>
    <x v="5"/>
  </r>
  <r>
    <s v="emp004"/>
    <n v="386942"/>
    <n v="508592"/>
    <n v="121650"/>
    <n v="29160084"/>
    <x v="6"/>
  </r>
  <r>
    <s v="emp004"/>
    <n v="389200"/>
    <n v="508592"/>
    <n v="119392"/>
    <n v="28821592"/>
    <x v="7"/>
  </r>
  <r>
    <s v="emp004"/>
    <n v="391470"/>
    <n v="508592"/>
    <n v="117122"/>
    <n v="28481126"/>
    <x v="8"/>
  </r>
  <r>
    <s v="emp004"/>
    <n v="393754"/>
    <n v="508592"/>
    <n v="114838"/>
    <n v="28138674"/>
    <x v="9"/>
  </r>
  <r>
    <s v="emp004"/>
    <n v="396050"/>
    <n v="508592"/>
    <n v="112542"/>
    <n v="27794224"/>
    <x v="10"/>
  </r>
  <r>
    <s v="emp004"/>
    <n v="398361"/>
    <n v="508592"/>
    <n v="110231"/>
    <n v="27447765"/>
    <x v="11"/>
  </r>
  <r>
    <s v="emp005"/>
    <n v="339377"/>
    <n v="506964"/>
    <n v="167587"/>
    <n v="36014142"/>
    <x v="0"/>
  </r>
  <r>
    <s v="emp005"/>
    <n v="341356"/>
    <n v="506964"/>
    <n v="165608"/>
    <n v="35717260"/>
    <x v="1"/>
  </r>
  <r>
    <s v="emp005"/>
    <n v="343347"/>
    <n v="506964"/>
    <n v="163617"/>
    <n v="35418647"/>
    <x v="2"/>
  </r>
  <r>
    <s v="emp005"/>
    <n v="345350"/>
    <n v="506964"/>
    <n v="161614"/>
    <n v="35118292"/>
    <x v="3"/>
  </r>
  <r>
    <s v="emp005"/>
    <n v="347365"/>
    <n v="506964"/>
    <n v="159599"/>
    <n v="34816185"/>
    <x v="4"/>
  </r>
  <r>
    <s v="emp005"/>
    <n v="349391"/>
    <n v="506964"/>
    <n v="157573"/>
    <n v="34512315"/>
    <x v="5"/>
  </r>
  <r>
    <s v="emp005"/>
    <n v="351429"/>
    <n v="506964"/>
    <n v="155535"/>
    <n v="34206673"/>
    <x v="6"/>
  </r>
  <r>
    <s v="emp005"/>
    <n v="353479"/>
    <n v="506964"/>
    <n v="153485"/>
    <n v="33899248"/>
    <x v="7"/>
  </r>
  <r>
    <s v="emp005"/>
    <n v="355541"/>
    <n v="506964"/>
    <n v="151423"/>
    <n v="33590030"/>
    <x v="8"/>
  </r>
  <r>
    <s v="emp005"/>
    <n v="357615"/>
    <n v="506964"/>
    <n v="149349"/>
    <n v="33279008"/>
    <x v="9"/>
  </r>
  <r>
    <s v="emp005"/>
    <n v="359701"/>
    <n v="506964"/>
    <n v="147263"/>
    <n v="32966171"/>
    <x v="10"/>
  </r>
  <r>
    <s v="emp005"/>
    <n v="361797"/>
    <n v="506964"/>
    <n v="145167"/>
    <n v="32651510"/>
    <x v="11"/>
  </r>
  <r>
    <s v="emp007"/>
    <n v="212286"/>
    <n v="448570"/>
    <n v="236284"/>
    <n v="50771451"/>
    <x v="0"/>
  </r>
  <r>
    <s v="emp007"/>
    <n v="213347"/>
    <n v="448570"/>
    <n v="235223"/>
    <n v="50581252"/>
    <x v="1"/>
  </r>
  <r>
    <s v="emp007"/>
    <n v="214414"/>
    <n v="448570"/>
    <n v="234156"/>
    <n v="50390102"/>
    <x v="2"/>
  </r>
  <r>
    <s v="emp007"/>
    <n v="215486"/>
    <n v="448570"/>
    <n v="233084"/>
    <n v="50197997"/>
    <x v="3"/>
  </r>
  <r>
    <s v="emp007"/>
    <n v="216563"/>
    <n v="448570"/>
    <n v="232007"/>
    <n v="50004931"/>
    <x v="4"/>
  </r>
  <r>
    <s v="emp007"/>
    <n v="217646"/>
    <n v="448570"/>
    <n v="230924"/>
    <n v="49810900"/>
    <x v="5"/>
  </r>
  <r>
    <s v="emp007"/>
    <n v="218734"/>
    <n v="448570"/>
    <n v="229836"/>
    <n v="49615899"/>
    <x v="6"/>
  </r>
  <r>
    <s v="emp007"/>
    <n v="219828"/>
    <n v="448570"/>
    <n v="228742"/>
    <n v="49419923"/>
    <x v="7"/>
  </r>
  <r>
    <s v="emp007"/>
    <n v="220927"/>
    <n v="448570"/>
    <n v="227643"/>
    <n v="49222967"/>
    <x v="8"/>
  </r>
  <r>
    <s v="emp007"/>
    <n v="222032"/>
    <n v="448570"/>
    <n v="226538"/>
    <n v="49025026"/>
    <x v="9"/>
  </r>
  <r>
    <s v="emp007"/>
    <n v="223142"/>
    <n v="448570"/>
    <n v="225428"/>
    <n v="48826095"/>
    <x v="10"/>
  </r>
  <r>
    <s v="emp007"/>
    <n v="224258"/>
    <n v="448570"/>
    <n v="224312"/>
    <n v="48626169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s v="03.01.01.01.06.01"/>
    <s v="Criação e manutenção de espaços verdes "/>
    <n v="2100000"/>
    <m/>
    <n v="11"/>
    <e v="#NAME?"/>
    <x v="0"/>
  </r>
  <r>
    <s v="03.01.04.04.02.01"/>
    <s v="Projeto São Miguel On "/>
    <n v="500000"/>
    <m/>
    <n v="4"/>
    <e v="#NAME?"/>
    <x v="0"/>
  </r>
  <r>
    <s v="02.01.01.02.07"/>
    <s v="Formação de Bombeiros/Fiscais Municipais"/>
    <n v="150000"/>
    <m/>
    <n v="9"/>
    <e v="#NAME?"/>
    <x v="1"/>
  </r>
  <r>
    <s v="02.08.02"/>
    <s v="Apoio ao ensino básico e secundário"/>
    <n v="110000"/>
    <m/>
    <n v="14"/>
    <e v="#NAME?"/>
    <x v="2"/>
  </r>
  <r>
    <s v="02.08.02"/>
    <s v="Apoio pre escolar "/>
    <n v="1010000"/>
    <m/>
    <n v="5"/>
    <e v="#NAME?"/>
    <x v="2"/>
  </r>
  <r>
    <s v="02.08.02"/>
    <s v="Transporte escolar"/>
    <n v="6000000"/>
    <m/>
    <n v="11"/>
    <e v="#NAME?"/>
    <x v="2"/>
  </r>
  <r>
    <s v="02.08.02"/>
    <s v="Comparticipação Ensino Superior"/>
    <n v="700000"/>
    <m/>
    <n v="11"/>
    <e v="#NAME?"/>
    <x v="2"/>
  </r>
  <r>
    <s v="03.01.01.01.06.01"/>
    <s v="Criação e Manutenção de parques infantis e Espaços Fitness Park"/>
    <n v="1500000"/>
    <m/>
    <n v="11"/>
    <e v="#NAME?"/>
    <x v="0"/>
  </r>
  <r>
    <s v="03.01.01.01.06.01"/>
    <s v="Construção da estrutura metálica para cobertura do polidesportivo de Calheta"/>
    <n v="20000000"/>
    <m/>
    <n v="11"/>
    <e v="#NAME?"/>
    <x v="0"/>
  </r>
  <r>
    <s v="03.01.01.01.06.01"/>
    <s v="Atividades desportivas e promoção do desporto no Concelho"/>
    <n v="2000000"/>
    <m/>
    <n v="11"/>
    <e v="#NAME?"/>
    <x v="0"/>
  </r>
  <r>
    <s v="03.01.01.01.06.01"/>
    <s v="Reabilitação de Placas Desportivas"/>
    <n v="3000000"/>
    <m/>
    <n v="7"/>
    <e v="#NAME?"/>
    <x v="0"/>
  </r>
  <r>
    <s v="02.08.02"/>
    <s v="Estágios Profissionais e promocao de emprego"/>
    <n v="1800000"/>
    <m/>
    <n v="7"/>
    <e v="#NAME?"/>
    <x v="2"/>
  </r>
  <r>
    <s v="02.08.02"/>
    <s v="Apoio a Formação Profissional"/>
    <n v="500000"/>
    <m/>
    <n v="7"/>
    <e v="#NAME?"/>
    <x v="2"/>
  </r>
  <r>
    <s v="02.08.02"/>
    <s v="Atividades culturais e promoção da cultura no Concelho"/>
    <n v="5500000"/>
    <m/>
    <n v="11"/>
    <e v="#NAME?"/>
    <x v="2"/>
  </r>
  <r>
    <s v="02.07.02.01"/>
    <s v="Apoio Consultas de Especialidade e Medicamentos"/>
    <n v="200000"/>
    <m/>
    <n v="11"/>
    <e v="#NAME?"/>
    <x v="3"/>
  </r>
  <r>
    <s v="02.07.02.01"/>
    <s v="Promoçao e inclusão social "/>
    <n v="2500000"/>
    <m/>
    <n v="6"/>
    <e v="#NAME?"/>
    <x v="3"/>
  </r>
  <r>
    <s v="03.01.01.02.04.01"/>
    <s v="Apoio para Aquisição de Materiais de Pescas e Botes"/>
    <n v="3500000"/>
    <m/>
    <n v="12"/>
    <e v="#NAME?"/>
    <x v="0"/>
  </r>
  <r>
    <s v="03.01.01.01.06.01"/>
    <s v="Sinalização Turística do Concelho de São Miguel"/>
    <n v="1200000"/>
    <m/>
    <n v="12"/>
    <e v="#NAME?"/>
    <x v="0"/>
  </r>
  <r>
    <s v="02.02.02.01.03.01"/>
    <s v="Feira das artes, delicias do mar, do milho e do agro-negócio"/>
    <n v="2000000"/>
    <m/>
    <n v="8"/>
    <e v="#NAME?"/>
    <x v="4"/>
  </r>
  <r>
    <s v="03.01.01.01.06.01"/>
    <s v="Construção do parque industrial"/>
    <n v="4000000"/>
    <m/>
    <n v="9"/>
    <e v="#NAME?"/>
    <x v="0"/>
  </r>
  <r>
    <s v="03.01.01.02.04.01"/>
    <s v="Toponimia e Enumeração Policial"/>
    <n v="2300000"/>
    <m/>
    <n v="9"/>
    <e v="#NAME?"/>
    <x v="0"/>
  </r>
  <r>
    <s v="03.01.01.01.06.01"/>
    <s v="Infraestruturação da Zona do Bácio"/>
    <n v="7000000"/>
    <m/>
    <n v="23"/>
    <e v="#NAME?"/>
    <x v="0"/>
  </r>
  <r>
    <s v="02.02.02.01.03.01"/>
    <s v="Revisão do PDM "/>
    <n v="2400000"/>
    <m/>
    <n v="23"/>
    <e v="#NAME?"/>
    <x v="4"/>
  </r>
  <r>
    <s v="02.02.02.01.03.01"/>
    <s v="Elaboração de Planos Detalhados"/>
    <n v="1700000"/>
    <m/>
    <n v="23"/>
    <e v="#NAME?"/>
    <x v="4"/>
  </r>
  <r>
    <s v="02.08.02"/>
    <s v="Reforço do Saneamento Básico "/>
    <n v="6500000"/>
    <m/>
    <n v="23"/>
    <e v="#NAME?"/>
    <x v="2"/>
  </r>
  <r>
    <s v="03.01.01.01.06.01"/>
    <s v="Manutenção de Cemitérios"/>
    <n v="200000"/>
    <m/>
    <n v="23"/>
    <e v="#NAME?"/>
    <x v="0"/>
  </r>
  <r>
    <s v="03.01.01.02.04.01"/>
    <s v="Transferência de Residuos Aterro Santiago"/>
    <n v="4000000"/>
    <m/>
    <n v="23"/>
    <e v="#NAME?"/>
    <x v="0"/>
  </r>
  <r>
    <s v="03.01.01.01.06.01"/>
    <s v="Rede de Esgotos"/>
    <n v="4400000"/>
    <m/>
    <n v="23"/>
    <e v="#NAME?"/>
    <x v="0"/>
  </r>
  <r>
    <s v="03.01.01.02.04.01"/>
    <s v="Construção de rede de adução, reservatórios e  implementacão de rega gota-a-gota na Ribeira de Flamengos"/>
    <n v="33000000"/>
    <m/>
    <n v="23"/>
    <e v="#NAME?"/>
    <x v="0"/>
  </r>
  <r>
    <s v="03.01.01.02.04.01"/>
    <s v="Ligações domiciliarias em Jaquetão e Ribeira de Flamengos"/>
    <n v="4700000"/>
    <m/>
    <n v="23"/>
    <e v="#NAME?"/>
    <x v="0"/>
  </r>
  <r>
    <s v="03.01.01.02.04.01"/>
    <s v="Sinalização de Transito "/>
    <n v="650000"/>
    <m/>
    <n v="23"/>
    <e v="#NAME?"/>
    <x v="0"/>
  </r>
  <r>
    <s v="02.08.02"/>
    <s v="Plano de emergencia época das chuvas "/>
    <n v="2500000"/>
    <m/>
    <n v="23"/>
    <e v="#NAME?"/>
    <x v="2"/>
  </r>
  <r>
    <s v="03.01.01.01.04.01"/>
    <s v="Reabilitação de jardins infantis e escolas do EBI"/>
    <n v="1500000"/>
    <m/>
    <n v="23"/>
    <e v="#NAME?"/>
    <x v="0"/>
  </r>
  <r>
    <s v="03.01.01.01.06.01"/>
    <s v="Manutenção do  Estádio Municipal "/>
    <n v="3000000"/>
    <m/>
    <n v="23"/>
    <e v="#NAME?"/>
    <x v="0"/>
  </r>
  <r>
    <s v="03.01.01.01.06.01"/>
    <s v="Requalificação urbana e ambiental de Veneza"/>
    <n v="10000000"/>
    <m/>
    <n v="23"/>
    <e v="#NAME?"/>
    <x v="0"/>
  </r>
  <r>
    <s v="03.01.01.01.06.01"/>
    <s v="Reabilitações e asfaltagem da  estrada de Variante Pilão Cão a Ponta Talho"/>
    <n v="30000000"/>
    <m/>
    <n v="23"/>
    <e v="#NAME?"/>
    <x v="0"/>
  </r>
  <r>
    <s v="03.01.01.01.06.01"/>
    <s v="Manutenção e Reabilitação de Edificios Municipais"/>
    <n v="2000000"/>
    <m/>
    <n v="23"/>
    <e v="#NAME?"/>
    <x v="0"/>
  </r>
  <r>
    <s v="03.01.01.01.06.01"/>
    <s v="Arrelvamento do campo de Achada Bolanha"/>
    <n v="5000000"/>
    <m/>
    <n v="23"/>
    <e v="#NAME?"/>
    <x v="0"/>
  </r>
  <r>
    <s v="03.01.01.01.06.01"/>
    <s v="Requalificação urbana de Ponta Verde"/>
    <n v="5000000"/>
    <m/>
    <n v="23"/>
    <e v="#NAME?"/>
    <x v="0"/>
  </r>
  <r>
    <s v="03.01.01.01.06.01"/>
    <s v="Requalificação urbana e ambiental de Achada do Monte "/>
    <n v="4000000"/>
    <m/>
    <n v="23"/>
    <e v="#NAME?"/>
    <x v="0"/>
  </r>
  <r>
    <s v="03.01.01.01.06.01"/>
    <s v="Construção da Estrada de Mato Dentro"/>
    <n v="65000000"/>
    <m/>
    <n v="23"/>
    <e v="#NAME?"/>
    <x v="0"/>
  </r>
  <r>
    <s v="03.01.01.01.06.01"/>
    <s v="Requalificação urbana e ambiental de Achada Bolanha"/>
    <n v="4000000"/>
    <m/>
    <n v="23"/>
    <e v="#NAME?"/>
    <x v="0"/>
  </r>
  <r>
    <s v="03.01.01.01.06.01"/>
    <s v="Habitações Sociais"/>
    <n v="17000000"/>
    <m/>
    <n v="23"/>
    <e v="#NAME?"/>
    <x v="0"/>
  </r>
  <r>
    <s v="02.08.02"/>
    <s v="Apoio a crianças Vulneráveis"/>
    <n v="800000"/>
    <m/>
    <n v="23"/>
    <e v="#NAME?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4">
  <r>
    <s v="Criação e manutenção de espaços verdes "/>
    <n v="2100000"/>
    <x v="0"/>
    <x v="0"/>
    <n v="48"/>
    <m/>
  </r>
  <r>
    <s v="Projeto São Miguel On "/>
    <n v="500000"/>
    <x v="1"/>
    <x v="1"/>
    <n v="26"/>
    <m/>
  </r>
  <r>
    <s v="Formação de Bombeiros/Fiscais Municipais"/>
    <n v="150000"/>
    <x v="2"/>
    <x v="2"/>
    <n v="21"/>
    <m/>
  </r>
  <r>
    <s v="Apoio ao ensino básico e secundário"/>
    <n v="110000"/>
    <x v="3"/>
    <x v="3"/>
    <n v="64"/>
    <m/>
  </r>
  <r>
    <s v="Apoio pre escolar "/>
    <n v="1010000"/>
    <x v="3"/>
    <x v="3"/>
    <n v="65"/>
    <m/>
  </r>
  <r>
    <s v="Transporte escolar"/>
    <n v="6000000"/>
    <x v="3"/>
    <x v="3"/>
    <n v="66"/>
    <m/>
  </r>
  <r>
    <s v="Comparticipação Ensino Superior"/>
    <n v="700000"/>
    <x v="3"/>
    <x v="3"/>
    <n v="63"/>
    <m/>
  </r>
  <r>
    <s v="Criação e Manutenção de parques infantis e Espaços Fitness Park"/>
    <n v="1500000"/>
    <x v="0"/>
    <x v="4"/>
    <n v="56"/>
    <m/>
  </r>
  <r>
    <s v="Atividades desportivas e promoção do desporto no Concelho"/>
    <n v="2000000"/>
    <x v="0"/>
    <x v="4"/>
    <n v="37"/>
    <m/>
  </r>
  <r>
    <s v="Reabilitação de Placas Desportivas"/>
    <n v="3000000"/>
    <x v="0"/>
    <x v="4"/>
    <n v="38"/>
    <m/>
  </r>
  <r>
    <s v="Estágios Profissionais e promocao de emprego"/>
    <n v="1800000"/>
    <x v="3"/>
    <x v="3"/>
    <n v="24"/>
    <m/>
  </r>
  <r>
    <s v="Apoio a Formação Profissional"/>
    <n v="500000"/>
    <x v="3"/>
    <x v="3"/>
    <n v="23"/>
    <m/>
  </r>
  <r>
    <s v="Atividades culturais e promoção da cultura no Concelho"/>
    <n v="5500000"/>
    <x v="3"/>
    <x v="5"/>
    <n v="61"/>
    <m/>
  </r>
  <r>
    <s v="Apoio Consultas de Especialidade e Medicamentos"/>
    <n v="200000"/>
    <x v="4"/>
    <x v="6"/>
    <n v="59"/>
    <m/>
  </r>
  <r>
    <s v="Promoçao e inclusão social "/>
    <n v="2500000"/>
    <x v="4"/>
    <x v="6"/>
    <n v="69"/>
    <m/>
  </r>
  <r>
    <s v="Apoio para Aquisição de Materiais de Pescas e Botes"/>
    <n v="3500000"/>
    <x v="5"/>
    <x v="7"/>
    <n v="25"/>
    <m/>
  </r>
  <r>
    <s v="Sinalização Turística do Concelho de São Miguel"/>
    <n v="1200000"/>
    <x v="0"/>
    <x v="1"/>
    <n v="28"/>
    <m/>
  </r>
  <r>
    <s v="Feira das artes, delicias do mar, do milho e do agro-negócio"/>
    <n v="2000000"/>
    <x v="6"/>
    <x v="1"/>
    <n v="27"/>
    <s v="Assistência Técnica - Residentes"/>
  </r>
  <r>
    <s v="Construção do parque industrial"/>
    <n v="4000000"/>
    <x v="0"/>
    <x v="8"/>
    <n v="29"/>
    <m/>
  </r>
  <r>
    <s v="Toponimia e Enumeração Policial"/>
    <n v="2300000"/>
    <x v="5"/>
    <x v="8"/>
    <n v="53"/>
    <m/>
  </r>
  <r>
    <s v="Infraestruturação da Zona do Bácio"/>
    <n v="7000000"/>
    <x v="0"/>
    <x v="8"/>
    <n v="54"/>
    <m/>
  </r>
  <r>
    <s v="Revisão do PDM "/>
    <n v="2400000"/>
    <x v="6"/>
    <x v="8"/>
    <n v="39"/>
    <m/>
  </r>
  <r>
    <s v="Elaboração de Planos Detalhados"/>
    <n v="1700000"/>
    <x v="6"/>
    <x v="8"/>
    <n v="55"/>
    <m/>
  </r>
  <r>
    <s v="Reforço do Saneamento Básico "/>
    <n v="6500000"/>
    <x v="3"/>
    <x v="8"/>
    <n v="32"/>
    <m/>
  </r>
  <r>
    <s v="Manutenção de Cemitérios"/>
    <n v="200000"/>
    <x v="0"/>
    <x v="8"/>
    <n v="52"/>
    <m/>
  </r>
  <r>
    <s v="Transferência de Residuos Aterro Santiago"/>
    <n v="4000000"/>
    <x v="5"/>
    <x v="8"/>
    <n v="33"/>
    <m/>
  </r>
  <r>
    <s v="Rede de Esgotos"/>
    <n v="4400000"/>
    <x v="0"/>
    <x v="8"/>
    <n v="31"/>
    <m/>
  </r>
  <r>
    <s v="Construção de rede de adução, reservatórios e  implementacão de rega gota-a-gota na Ribeira de Flamengos"/>
    <n v="33000000"/>
    <x v="5"/>
    <x v="8"/>
    <n v="57"/>
    <m/>
  </r>
  <r>
    <s v="Ligações domiciliarias em Jaquetão e Ribeira de Flamengos"/>
    <n v="4700000"/>
    <x v="5"/>
    <x v="8"/>
    <n v="40"/>
    <m/>
  </r>
  <r>
    <s v="Sinalização de Transito "/>
    <n v="650000"/>
    <x v="5"/>
    <x v="8"/>
    <n v="20"/>
    <m/>
  </r>
  <r>
    <s v="Plano de emergencia época das chuvas "/>
    <n v="2500000"/>
    <x v="3"/>
    <x v="8"/>
    <n v="34"/>
    <m/>
  </r>
  <r>
    <s v="Construção da estrutura metálica para cobertura do polidesportivo de Calheta"/>
    <n v="20000000"/>
    <x v="5"/>
    <x v="8"/>
    <n v="50"/>
    <m/>
  </r>
  <r>
    <s v="Reabilitação de jardins infantis e escolas do EBI"/>
    <n v="1500000"/>
    <x v="7"/>
    <x v="8"/>
    <n v="36"/>
    <m/>
  </r>
  <r>
    <s v="Manutenção do  Estádio Municipal "/>
    <n v="3000000"/>
    <x v="0"/>
    <x v="8"/>
    <n v="51"/>
    <m/>
  </r>
  <r>
    <s v="Requalificação urbana e ambiental de Veneza"/>
    <n v="10000000"/>
    <x v="0"/>
    <x v="8"/>
    <n v="41"/>
    <m/>
  </r>
  <r>
    <s v="Reabilitações e asfaltagem da  estrada de Variante Pilão Cão a Ponta Talho"/>
    <n v="30000000"/>
    <x v="0"/>
    <x v="8"/>
    <n v="42"/>
    <m/>
  </r>
  <r>
    <s v="Manutenção e Reabilitação de Edificios Municipais"/>
    <n v="2000000"/>
    <x v="0"/>
    <x v="8"/>
    <n v="49"/>
    <m/>
  </r>
  <r>
    <s v="Arrelvamento do campo de Achada Bolanha"/>
    <n v="5000000"/>
    <x v="0"/>
    <x v="8"/>
    <n v="43"/>
    <m/>
  </r>
  <r>
    <s v="Requalificação urbana de Ponta Verde"/>
    <n v="5000000"/>
    <x v="0"/>
    <x v="8"/>
    <n v="47"/>
    <m/>
  </r>
  <r>
    <s v="Construção da Estrada de Mato Dentro"/>
    <n v="65000000"/>
    <x v="0"/>
    <x v="8"/>
    <n v="45"/>
    <m/>
  </r>
  <r>
    <s v="Requalificação urbana e ambiental de Achada do Monte "/>
    <n v="4000000"/>
    <x v="0"/>
    <x v="8"/>
    <n v="44"/>
    <m/>
  </r>
  <r>
    <s v="Requalificação urbana e ambiental de Achada Bolanha"/>
    <n v="4000000"/>
    <x v="0"/>
    <x v="8"/>
    <n v="46"/>
    <m/>
  </r>
  <r>
    <s v="Habitações Sociais"/>
    <n v="17000000"/>
    <x v="0"/>
    <x v="6"/>
    <n v="70"/>
    <m/>
  </r>
  <r>
    <s v="Apoio a crianças Vulneráveis"/>
    <n v="800000"/>
    <x v="3"/>
    <x v="6"/>
    <n v="6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 multipleFieldFilters="0">
  <location ref="O7:Q21" firstHeaderRow="1" firstDataRow="2" firstDataCol="1"/>
  <pivotFields count="6">
    <pivotField compact="0" outline="0" showAll="0"/>
    <pivotField dataField="1" compact="0" numFmtId="165" outline="0" showAll="0"/>
    <pivotField compact="0" numFmtId="165" outline="0" showAll="0"/>
    <pivotField dataField="1" compact="0" numFmtId="165" outline="0" showAll="0"/>
    <pivotField compact="0" numFmtId="165" outline="0" showAll="0"/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juros" fld="3" baseField="0" baseItem="0"/>
    <dataField name="Soma de amortização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6" useAutoFormatting="1" itemPrintTitles="1" createdVersion="6" indent="0" compact="0" compactData="0" gridDropZones="1" multipleFieldFilters="0">
  <location ref="H11:N24" firstHeaderRow="1" firstDataRow="1" firstDataCol="1"/>
  <pivotFields count="1">
    <pivotField compact="0" outline="0"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useAutoFormatting="1" itemPrintTitles="1" createdVersion="7" indent="0" compact="0" compactData="0" gridDropZones="1" multipleFieldFilters="0">
  <location ref="M11:N22" firstHeaderRow="2" firstDataRow="2" firstDataCol="1"/>
  <pivotFields count="6">
    <pivotField compact="0" outline="0" showAll="0"/>
    <pivotField dataField="1" compact="0" numFmtId="172" outline="0" showAll="0"/>
    <pivotField compact="0" outline="0" showAll="0"/>
    <pivotField axis="axisRow" compact="0" outline="0" showAll="0">
      <items count="12">
        <item m="1" x="9"/>
        <item x="7"/>
        <item x="5"/>
        <item x="2"/>
        <item x="1"/>
        <item x="0"/>
        <item x="3"/>
        <item x="6"/>
        <item x="4"/>
        <item x="8"/>
        <item m="1" x="10"/>
        <item t="default"/>
      </items>
    </pivotField>
    <pivotField compact="0" outline="0" showAll="0"/>
    <pivotField compact="0" outline="0" showAll="0" defaultSubtotal="0"/>
  </pivotFields>
  <rowFields count="1">
    <field x="3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valo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useAutoFormatting="1" itemPrintTitles="1" createdVersion="7" indent="0" compact="0" compactData="0" gridDropZones="1" multipleFieldFilters="0">
  <location ref="I2:K29" firstHeaderRow="2" firstDataRow="2" firstDataCol="2"/>
  <pivotFields count="6">
    <pivotField compact="0" outline="0" showAll="0"/>
    <pivotField dataField="1" compact="0" numFmtId="172" outline="0" showAll="0"/>
    <pivotField axis="axisRow" compact="0" outline="0" showAll="0">
      <items count="10">
        <item x="2"/>
        <item x="6"/>
        <item x="4"/>
        <item x="3"/>
        <item x="7"/>
        <item x="0"/>
        <item m="1" x="8"/>
        <item x="5"/>
        <item x="1"/>
        <item t="default"/>
      </items>
    </pivotField>
    <pivotField axis="axisRow" compact="0" outline="0" showAll="0">
      <items count="12">
        <item m="1" x="9"/>
        <item x="7"/>
        <item x="5"/>
        <item x="2"/>
        <item x="1"/>
        <item x="0"/>
        <item x="3"/>
        <item x="6"/>
        <item x="4"/>
        <item x="8"/>
        <item m="1" x="10"/>
        <item t="default"/>
      </items>
    </pivotField>
    <pivotField compact="0" outline="0" showAll="0"/>
    <pivotField compact="0" outline="0" showAll="0" defaultSubtotal="0"/>
  </pivotFields>
  <rowFields count="2">
    <field x="2"/>
    <field x="3"/>
  </rowFields>
  <rowItems count="26">
    <i>
      <x/>
      <x v="3"/>
    </i>
    <i t="default">
      <x/>
    </i>
    <i>
      <x v="1"/>
      <x v="4"/>
    </i>
    <i r="1">
      <x v="9"/>
    </i>
    <i t="default">
      <x v="1"/>
    </i>
    <i>
      <x v="2"/>
      <x v="7"/>
    </i>
    <i t="default">
      <x v="2"/>
    </i>
    <i>
      <x v="3"/>
      <x v="2"/>
    </i>
    <i r="1">
      <x v="6"/>
    </i>
    <i r="1">
      <x v="7"/>
    </i>
    <i r="1">
      <x v="9"/>
    </i>
    <i t="default">
      <x v="3"/>
    </i>
    <i>
      <x v="4"/>
      <x v="9"/>
    </i>
    <i t="default">
      <x v="4"/>
    </i>
    <i>
      <x v="5"/>
      <x v="4"/>
    </i>
    <i r="1">
      <x v="5"/>
    </i>
    <i r="1">
      <x v="7"/>
    </i>
    <i r="1">
      <x v="8"/>
    </i>
    <i r="1">
      <x v="9"/>
    </i>
    <i t="default">
      <x v="5"/>
    </i>
    <i>
      <x v="7"/>
      <x v="1"/>
    </i>
    <i r="1">
      <x v="9"/>
    </i>
    <i t="default">
      <x v="7"/>
    </i>
    <i>
      <x v="8"/>
      <x v="4"/>
    </i>
    <i t="default">
      <x v="8"/>
    </i>
    <i t="grand">
      <x/>
    </i>
  </rowItems>
  <colItems count="1">
    <i/>
  </colItems>
  <dataFields count="1">
    <dataField name="Sum of valor" fld="1" baseField="0" baseItem="0"/>
  </dataFields>
  <formats count="11">
    <format dxfId="22">
      <pivotArea outline="0" fieldPosition="0">
        <references count="2">
          <reference field="2" count="1" selected="0">
            <x v="5"/>
          </reference>
          <reference field="3" count="0" selected="0"/>
        </references>
      </pivotArea>
    </format>
    <format dxfId="21">
      <pivotArea outline="0" fieldPosition="0">
        <references count="2">
          <reference field="2" count="1" selected="0">
            <x v="0"/>
          </reference>
          <reference field="3" count="1" selected="0">
            <x v="3"/>
          </reference>
        </references>
      </pivotArea>
    </format>
    <format dxfId="20">
      <pivotArea outline="0" fieldPosition="0">
        <references count="2">
          <reference field="2" count="1" selected="0">
            <x v="0"/>
          </reference>
          <reference field="3" count="1" selected="0">
            <x v="3"/>
          </reference>
        </references>
      </pivotArea>
    </format>
    <format dxfId="19">
      <pivotArea outline="0" fieldPosition="0">
        <references count="2">
          <reference field="2" count="1" selected="0">
            <x v="1"/>
          </reference>
          <reference field="3" count="1" selected="0">
            <x v="4"/>
          </reference>
        </references>
      </pivotArea>
    </format>
    <format dxfId="18">
      <pivotArea outline="0" fieldPosition="0">
        <references count="2">
          <reference field="2" count="1" selected="0">
            <x v="1"/>
          </reference>
          <reference field="3" count="1" selected="0">
            <x v="9"/>
          </reference>
        </references>
      </pivotArea>
    </format>
    <format dxfId="17">
      <pivotArea outline="0" fieldPosition="0">
        <references count="2">
          <reference field="2" count="1" selected="0">
            <x v="3"/>
          </reference>
          <reference field="3" count="4" selected="0">
            <x v="2"/>
            <x v="6"/>
            <x v="7"/>
            <x v="9"/>
          </reference>
        </references>
      </pivotArea>
    </format>
    <format dxfId="16">
      <pivotArea outline="0" fieldPosition="0">
        <references count="2">
          <reference field="2" count="1" selected="0">
            <x v="2"/>
          </reference>
          <reference field="3" count="1" selected="0">
            <x v="7"/>
          </reference>
        </references>
      </pivotArea>
    </format>
    <format dxfId="15">
      <pivotArea outline="0" fieldPosition="0">
        <references count="2">
          <reference field="2" count="1" selected="0">
            <x v="5"/>
          </reference>
          <reference field="3" count="5" selected="0">
            <x v="4"/>
            <x v="5"/>
            <x v="7"/>
            <x v="8"/>
            <x v="9"/>
          </reference>
        </references>
      </pivotArea>
    </format>
    <format dxfId="14">
      <pivotArea outline="0" fieldPosition="0">
        <references count="2">
          <reference field="2" count="1" selected="0">
            <x v="7"/>
          </reference>
          <reference field="3" count="2" selected="0">
            <x v="1"/>
            <x v="9"/>
          </reference>
        </references>
      </pivotArea>
    </format>
    <format dxfId="13">
      <pivotArea outline="0" fieldPosition="0">
        <references count="2">
          <reference field="2" count="1" selected="0">
            <x v="4"/>
          </reference>
          <reference field="3" count="1" selected="0">
            <x v="9"/>
          </reference>
        </references>
      </pivotArea>
    </format>
    <format dxfId="12">
      <pivotArea outline="0" fieldPosition="0">
        <references count="2">
          <reference field="2" count="1" selected="0">
            <x v="8"/>
          </reference>
          <reference field="3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useAutoFormatting="1" itemPrintTitles="1" createdVersion="7" indent="0" compact="0" compactData="0" gridDropZones="1" multipleFieldFilters="0">
  <location ref="L23:M30" firstHeaderRow="2" firstDataRow="2" firstDataCol="1"/>
  <pivotFields count="7">
    <pivotField compact="0" outline="0" showAll="0" defaultSubtotal="0"/>
    <pivotField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/>
    <pivotField axis="axisRow" compact="0" outline="0" showAll="0">
      <items count="6">
        <item x="1"/>
        <item x="4"/>
        <item x="3"/>
        <item x="2"/>
        <item x="0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Valor" fld="2" baseField="0" baseItem="0" numFmtId="172"/>
  </dataFields>
  <formats count="2">
    <format dxfId="6">
      <pivotArea outline="0" collapsedLevelsAreSubtotals="1" fieldPosition="0"/>
    </format>
    <format dxfId="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1" displayName="Tabela1" ref="A2:F62" totalsRowShown="0" headerRowDxfId="30" dataDxfId="29">
  <autoFilter ref="A2:F62"/>
  <tableColumns count="6">
    <tableColumn id="1" name="emprestimo" dataDxfId="28"/>
    <tableColumn id="2" name="amortização" dataDxfId="27">
      <calculatedColumnFormula>+C3-D3</calculatedColumnFormula>
    </tableColumn>
    <tableColumn id="3" name="prestação" dataDxfId="26"/>
    <tableColumn id="4" name="juros" dataDxfId="25"/>
    <tableColumn id="5" name="capital em divida" dataDxfId="24"/>
    <tableColumn id="6" name="mês" dataDxfId="2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F45" totalsRowShown="0">
  <autoFilter ref="A1:F45"/>
  <tableColumns count="6">
    <tableColumn id="1" name="nome"/>
    <tableColumn id="2" name="valor" dataDxfId="11">
      <calculatedColumnFormula>INDEX(MapaX!I:I,MATCH(Table3[[#This Row],[nome]],MapaX!D:D,0))</calculatedColumnFormula>
    </tableColumn>
    <tableColumn id="3" name="rubrica"/>
    <tableColumn id="4" name="cc" dataDxfId="10">
      <calculatedColumnFormula array="1">INDEX(S:S,MATCH(Table3[[#This Row],[nome]],P:P,0),)</calculatedColumnFormula>
    </tableColumn>
    <tableColumn id="5" name="Column1" dataDxfId="9">
      <calculatedColumnFormula>MATCH(Table3[[#This Row],[nome]],MapaIII!C:C,0)</calculatedColumnFormula>
    </tableColumn>
    <tableColumn id="6" name="Colum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C1:I45" totalsRowShown="0">
  <autoFilter ref="C1:I45"/>
  <tableColumns count="7">
    <tableColumn id="1" name="Rubrica" dataDxfId="4"/>
    <tableColumn id="2" name="Nome" dataDxfId="3"/>
    <tableColumn id="3" name="Valor" dataDxfId="2">
      <calculatedColumnFormula>+INDEX(MapaX!I:I,MATCH(Table2[[#This Row],[Nome]],MapaX!D:D,0))</calculatedColumnFormula>
    </tableColumn>
    <tableColumn id="4" name="CC"/>
    <tableColumn id="5" name="cod"/>
    <tableColumn id="6" name="Column1" dataDxfId="1">
      <calculatedColumnFormula>_xlfn.XLOOKUP(Table2[[#This Row],[Nome]],MapaX!D:D,MapaX!I:I)</calculatedColumnFormula>
    </tableColumn>
    <tableColumn id="7" name="Column2" dataDxfId="0">
      <calculatedColumnFormula>LEFT(Table2[[#This Row],[Rubrica]],5)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5.xml"/><Relationship Id="rId6" Type="http://schemas.openxmlformats.org/officeDocument/2006/relationships/comments" Target="../comments5.xml"/><Relationship Id="rId5" Type="http://schemas.openxmlformats.org/officeDocument/2006/relationships/table" Target="../tables/table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20" workbookViewId="0">
      <selection activeCell="D27" sqref="D27:D38"/>
    </sheetView>
  </sheetViews>
  <sheetFormatPr defaultRowHeight="15" x14ac:dyDescent="0.25"/>
  <cols>
    <col min="1" max="1" width="25.7109375" style="71" customWidth="1"/>
    <col min="2" max="2" width="17.28515625" style="71" customWidth="1"/>
    <col min="3" max="3" width="15.28515625" style="136" customWidth="1"/>
    <col min="4" max="4" width="16" style="136" customWidth="1"/>
    <col min="5" max="5" width="19.5703125" style="136" customWidth="1"/>
    <col min="6" max="6" width="7" style="71" customWidth="1"/>
    <col min="7" max="7" width="2.7109375" style="71" customWidth="1"/>
    <col min="8" max="8" width="8.85546875" style="71" hidden="1" customWidth="1"/>
    <col min="9" max="9" width="8" style="71" hidden="1" customWidth="1"/>
    <col min="10" max="10" width="12.28515625" style="71" hidden="1" customWidth="1"/>
    <col min="11" max="11" width="18.7109375" style="71" hidden="1" customWidth="1"/>
    <col min="12" max="12" width="5.28515625" style="71" hidden="1" customWidth="1"/>
    <col min="13" max="14" width="0" style="71" hidden="1" customWidth="1"/>
    <col min="15" max="15" width="10.7109375" style="71" customWidth="1"/>
    <col min="16" max="16" width="13.5703125" style="71" customWidth="1"/>
    <col min="17" max="17" width="20" style="71" bestFit="1" customWidth="1"/>
    <col min="18" max="19" width="9.140625" style="71"/>
    <col min="20" max="20" width="12.85546875" style="71" bestFit="1" customWidth="1"/>
    <col min="21" max="21" width="9.140625" style="71"/>
    <col min="22" max="22" width="12.85546875" style="71" bestFit="1" customWidth="1"/>
    <col min="23" max="16384" width="9.140625" style="71"/>
  </cols>
  <sheetData>
    <row r="1" spans="1:22" x14ac:dyDescent="0.25">
      <c r="A1" s="622" t="s">
        <v>1128</v>
      </c>
      <c r="B1" s="622"/>
      <c r="C1" s="622"/>
      <c r="D1" s="622"/>
      <c r="E1" s="622"/>
      <c r="F1" s="622"/>
    </row>
    <row r="2" spans="1:22" ht="15.75" thickBot="1" x14ac:dyDescent="0.3">
      <c r="A2" s="71" t="s">
        <v>1005</v>
      </c>
      <c r="B2" s="71" t="s">
        <v>1006</v>
      </c>
      <c r="C2" s="468" t="s">
        <v>1007</v>
      </c>
      <c r="D2" s="468" t="s">
        <v>1008</v>
      </c>
      <c r="E2" s="468" t="s">
        <v>1009</v>
      </c>
      <c r="F2" s="468" t="s">
        <v>982</v>
      </c>
    </row>
    <row r="3" spans="1:22" ht="15.75" thickBot="1" x14ac:dyDescent="0.3">
      <c r="A3" s="71" t="s">
        <v>1010</v>
      </c>
      <c r="B3" s="134">
        <f>+C3-D3</f>
        <v>668294</v>
      </c>
      <c r="C3" s="482">
        <v>777399</v>
      </c>
      <c r="D3" s="483">
        <v>109105</v>
      </c>
      <c r="E3" s="483">
        <v>33048964</v>
      </c>
      <c r="F3" s="484" t="s">
        <v>985</v>
      </c>
    </row>
    <row r="4" spans="1:22" ht="15.75" thickBot="1" x14ac:dyDescent="0.3">
      <c r="A4" s="71" t="s">
        <v>1010</v>
      </c>
      <c r="B4" s="134">
        <f t="shared" ref="B4:B14" si="0">+C4-D4</f>
        <v>672192</v>
      </c>
      <c r="C4" s="483">
        <v>777399</v>
      </c>
      <c r="D4" s="483">
        <v>105207</v>
      </c>
      <c r="E4" s="483">
        <v>32464351</v>
      </c>
      <c r="F4" s="484" t="s">
        <v>986</v>
      </c>
    </row>
    <row r="5" spans="1:22" ht="15.75" thickBot="1" x14ac:dyDescent="0.3">
      <c r="A5" s="71" t="s">
        <v>1010</v>
      </c>
      <c r="B5" s="134">
        <f t="shared" si="0"/>
        <v>676113</v>
      </c>
      <c r="C5" s="483">
        <v>777399</v>
      </c>
      <c r="D5" s="483">
        <v>101286</v>
      </c>
      <c r="E5" s="483">
        <v>31876327</v>
      </c>
      <c r="F5" s="484" t="s">
        <v>987</v>
      </c>
    </row>
    <row r="6" spans="1:22" ht="15.75" thickBot="1" x14ac:dyDescent="0.3">
      <c r="A6" s="71" t="s">
        <v>1010</v>
      </c>
      <c r="B6" s="134">
        <f t="shared" si="0"/>
        <v>680057</v>
      </c>
      <c r="C6" s="483">
        <v>777399</v>
      </c>
      <c r="D6" s="483">
        <v>97342</v>
      </c>
      <c r="E6" s="483">
        <v>31284873</v>
      </c>
      <c r="F6" s="485" t="s">
        <v>988</v>
      </c>
    </row>
    <row r="7" spans="1:22" ht="15.75" thickBot="1" x14ac:dyDescent="0.3">
      <c r="A7" s="71" t="s">
        <v>1010</v>
      </c>
      <c r="B7" s="134">
        <f t="shared" si="0"/>
        <v>684024</v>
      </c>
      <c r="C7" s="483">
        <v>777399</v>
      </c>
      <c r="D7" s="483">
        <v>93375</v>
      </c>
      <c r="E7" s="483">
        <v>30689969</v>
      </c>
      <c r="F7" s="484" t="s">
        <v>989</v>
      </c>
      <c r="H7" s="134">
        <f>+D3+D15+D27+D39+D51</f>
        <v>690157</v>
      </c>
      <c r="O7"/>
      <c r="P7" s="514" t="s">
        <v>981</v>
      </c>
      <c r="Q7"/>
      <c r="R7"/>
      <c r="S7"/>
      <c r="T7">
        <f>3000000/12</f>
        <v>250000</v>
      </c>
      <c r="U7"/>
    </row>
    <row r="8" spans="1:22" ht="15.75" thickBot="1" x14ac:dyDescent="0.3">
      <c r="A8" s="71" t="s">
        <v>1010</v>
      </c>
      <c r="B8" s="134">
        <f t="shared" si="0"/>
        <v>688014</v>
      </c>
      <c r="C8" s="483">
        <v>777399</v>
      </c>
      <c r="D8" s="483">
        <v>89385</v>
      </c>
      <c r="E8" s="483">
        <v>30091595</v>
      </c>
      <c r="F8" s="484" t="s">
        <v>990</v>
      </c>
      <c r="O8" s="514" t="s">
        <v>982</v>
      </c>
      <c r="P8" t="s">
        <v>983</v>
      </c>
      <c r="Q8" t="s">
        <v>984</v>
      </c>
      <c r="R8"/>
      <c r="S8"/>
      <c r="T8"/>
      <c r="U8"/>
    </row>
    <row r="9" spans="1:22" ht="15.75" thickBot="1" x14ac:dyDescent="0.3">
      <c r="A9" s="71" t="s">
        <v>1010</v>
      </c>
      <c r="B9" s="134">
        <f t="shared" si="0"/>
        <v>692028</v>
      </c>
      <c r="C9" s="483">
        <v>777399</v>
      </c>
      <c r="D9" s="483">
        <v>85371</v>
      </c>
      <c r="E9" s="483">
        <v>29489730</v>
      </c>
      <c r="F9" s="485" t="s">
        <v>991</v>
      </c>
      <c r="O9" t="s">
        <v>985</v>
      </c>
      <c r="P9" s="615">
        <v>690157</v>
      </c>
      <c r="Q9" s="615">
        <v>2026325</v>
      </c>
      <c r="R9"/>
      <c r="S9"/>
      <c r="T9"/>
      <c r="U9"/>
    </row>
    <row r="10" spans="1:22" ht="15.75" thickBot="1" x14ac:dyDescent="0.3">
      <c r="A10" s="71" t="s">
        <v>1010</v>
      </c>
      <c r="B10" s="134">
        <f t="shared" si="0"/>
        <v>696065</v>
      </c>
      <c r="C10" s="483">
        <v>777399</v>
      </c>
      <c r="D10" s="483">
        <v>81334</v>
      </c>
      <c r="E10" s="483">
        <v>28884354</v>
      </c>
      <c r="F10" s="484" t="s">
        <v>992</v>
      </c>
      <c r="O10" t="s">
        <v>986</v>
      </c>
      <c r="P10" s="615">
        <v>678911</v>
      </c>
      <c r="Q10" s="615">
        <v>2037571</v>
      </c>
      <c r="R10"/>
      <c r="S10"/>
      <c r="T10" s="613">
        <f>+D3+D15+D27+D39+D51</f>
        <v>690157</v>
      </c>
      <c r="U10"/>
      <c r="V10" s="134">
        <f>+T10+T7</f>
        <v>940157</v>
      </c>
    </row>
    <row r="11" spans="1:22" ht="15.75" thickBot="1" x14ac:dyDescent="0.3">
      <c r="A11" s="71" t="s">
        <v>1010</v>
      </c>
      <c r="B11" s="134">
        <f t="shared" si="0"/>
        <v>700125</v>
      </c>
      <c r="C11" s="483">
        <v>777399</v>
      </c>
      <c r="D11" s="483">
        <v>77274</v>
      </c>
      <c r="E11" s="483">
        <v>28275447</v>
      </c>
      <c r="F11" s="484" t="s">
        <v>993</v>
      </c>
      <c r="O11" t="s">
        <v>987</v>
      </c>
      <c r="P11" s="615">
        <v>667602</v>
      </c>
      <c r="Q11" s="615">
        <v>2048880</v>
      </c>
      <c r="R11"/>
      <c r="S11"/>
      <c r="T11"/>
      <c r="U11"/>
    </row>
    <row r="12" spans="1:22" ht="15.75" thickBot="1" x14ac:dyDescent="0.3">
      <c r="A12" s="71" t="s">
        <v>1010</v>
      </c>
      <c r="B12" s="134">
        <f t="shared" si="0"/>
        <v>704209</v>
      </c>
      <c r="C12" s="483">
        <v>777399</v>
      </c>
      <c r="D12" s="483">
        <v>73190</v>
      </c>
      <c r="E12" s="483">
        <v>27662988</v>
      </c>
      <c r="F12" s="485" t="s">
        <v>994</v>
      </c>
      <c r="H12" s="134">
        <f>+C3-D3</f>
        <v>668294</v>
      </c>
      <c r="O12" t="s">
        <v>988</v>
      </c>
      <c r="P12" s="615">
        <v>656230</v>
      </c>
      <c r="Q12" s="615">
        <v>2060252</v>
      </c>
      <c r="R12"/>
      <c r="S12"/>
      <c r="T12"/>
      <c r="U12"/>
    </row>
    <row r="13" spans="1:22" ht="15.75" thickBot="1" x14ac:dyDescent="0.3">
      <c r="A13" s="71" t="s">
        <v>1010</v>
      </c>
      <c r="B13" s="134">
        <f t="shared" si="0"/>
        <v>708317</v>
      </c>
      <c r="C13" s="483">
        <v>777399</v>
      </c>
      <c r="D13" s="483">
        <v>69082</v>
      </c>
      <c r="E13" s="483">
        <v>27046956</v>
      </c>
      <c r="F13" s="484" t="s">
        <v>995</v>
      </c>
      <c r="O13" t="s">
        <v>989</v>
      </c>
      <c r="P13" s="615">
        <v>644794</v>
      </c>
      <c r="Q13" s="615">
        <v>2071688</v>
      </c>
      <c r="R13"/>
      <c r="S13"/>
      <c r="T13"/>
      <c r="U13"/>
    </row>
    <row r="14" spans="1:22" ht="15.75" thickBot="1" x14ac:dyDescent="0.3">
      <c r="A14" s="71" t="s">
        <v>1010</v>
      </c>
      <c r="B14" s="134">
        <f t="shared" si="0"/>
        <v>712449</v>
      </c>
      <c r="C14" s="483">
        <v>777399</v>
      </c>
      <c r="D14" s="483">
        <v>64950</v>
      </c>
      <c r="E14" s="483">
        <v>26427331</v>
      </c>
      <c r="F14" s="484" t="s">
        <v>996</v>
      </c>
      <c r="O14" t="s">
        <v>990</v>
      </c>
      <c r="P14" s="615">
        <v>633294</v>
      </c>
      <c r="Q14" s="615">
        <v>2083188</v>
      </c>
      <c r="R14"/>
      <c r="S14"/>
      <c r="T14"/>
      <c r="U14"/>
    </row>
    <row r="15" spans="1:22" ht="15.75" thickBot="1" x14ac:dyDescent="0.3">
      <c r="A15" s="486" t="s">
        <v>1011</v>
      </c>
      <c r="B15" s="133">
        <f>+C15-D15</f>
        <v>432696</v>
      </c>
      <c r="C15" s="487">
        <v>474957</v>
      </c>
      <c r="D15" s="488">
        <v>42261</v>
      </c>
      <c r="E15" s="488">
        <v>17983525</v>
      </c>
      <c r="F15" s="484" t="s">
        <v>985</v>
      </c>
      <c r="O15" t="s">
        <v>991</v>
      </c>
      <c r="P15" s="615">
        <v>621730</v>
      </c>
      <c r="Q15" s="615">
        <v>2094752</v>
      </c>
      <c r="R15"/>
      <c r="S15"/>
      <c r="T15"/>
      <c r="U15"/>
    </row>
    <row r="16" spans="1:22" ht="15.75" thickBot="1" x14ac:dyDescent="0.3">
      <c r="A16" s="484" t="s">
        <v>1011</v>
      </c>
      <c r="B16" s="134">
        <f t="shared" ref="B16:B25" si="1">+C16-D16</f>
        <v>434824</v>
      </c>
      <c r="C16" s="483">
        <v>474957</v>
      </c>
      <c r="D16" s="483">
        <v>40133</v>
      </c>
      <c r="E16" s="483">
        <v>17596987</v>
      </c>
      <c r="F16" s="484" t="s">
        <v>986</v>
      </c>
      <c r="O16" t="s">
        <v>992</v>
      </c>
      <c r="P16" s="615">
        <v>610100</v>
      </c>
      <c r="Q16" s="615">
        <v>2106382</v>
      </c>
      <c r="R16"/>
      <c r="S16"/>
      <c r="T16"/>
      <c r="U16"/>
    </row>
    <row r="17" spans="1:21" ht="15.75" thickBot="1" x14ac:dyDescent="0.3">
      <c r="A17" s="484" t="s">
        <v>1011</v>
      </c>
      <c r="B17" s="134">
        <f t="shared" si="1"/>
        <v>436962</v>
      </c>
      <c r="C17" s="483">
        <v>474957</v>
      </c>
      <c r="D17" s="483">
        <v>37995</v>
      </c>
      <c r="E17" s="483">
        <v>17208549</v>
      </c>
      <c r="F17" s="484" t="s">
        <v>987</v>
      </c>
      <c r="O17" t="s">
        <v>993</v>
      </c>
      <c r="P17" s="615">
        <v>598407</v>
      </c>
      <c r="Q17" s="615">
        <v>2118075</v>
      </c>
      <c r="R17"/>
      <c r="S17"/>
      <c r="T17"/>
      <c r="U17"/>
    </row>
    <row r="18" spans="1:21" ht="15.75" thickBot="1" x14ac:dyDescent="0.3">
      <c r="A18" s="484" t="s">
        <v>1011</v>
      </c>
      <c r="B18" s="134">
        <f t="shared" si="1"/>
        <v>439110</v>
      </c>
      <c r="C18" s="483">
        <v>474957</v>
      </c>
      <c r="D18" s="483">
        <v>35847</v>
      </c>
      <c r="E18" s="483">
        <v>16818201</v>
      </c>
      <c r="F18" s="485" t="s">
        <v>988</v>
      </c>
      <c r="O18" t="s">
        <v>994</v>
      </c>
      <c r="P18" s="615">
        <v>586648</v>
      </c>
      <c r="Q18" s="615">
        <v>2129834</v>
      </c>
      <c r="R18"/>
      <c r="S18"/>
      <c r="T18"/>
      <c r="U18"/>
    </row>
    <row r="19" spans="1:21" ht="15.75" thickBot="1" x14ac:dyDescent="0.3">
      <c r="A19" s="484" t="s">
        <v>1011</v>
      </c>
      <c r="B19" s="134">
        <f t="shared" si="1"/>
        <v>441269</v>
      </c>
      <c r="C19" s="483">
        <v>474957</v>
      </c>
      <c r="D19" s="483">
        <v>33688</v>
      </c>
      <c r="E19" s="483">
        <v>16425934</v>
      </c>
      <c r="F19" s="484" t="s">
        <v>989</v>
      </c>
      <c r="O19" t="s">
        <v>995</v>
      </c>
      <c r="P19" s="615">
        <v>574824</v>
      </c>
      <c r="Q19" s="615">
        <v>2141658</v>
      </c>
      <c r="R19"/>
      <c r="S19"/>
      <c r="T19"/>
      <c r="U19"/>
    </row>
    <row r="20" spans="1:21" ht="15.75" thickBot="1" x14ac:dyDescent="0.3">
      <c r="A20" s="484" t="s">
        <v>1011</v>
      </c>
      <c r="B20" s="134">
        <f t="shared" si="1"/>
        <v>443439</v>
      </c>
      <c r="C20" s="483">
        <v>474957</v>
      </c>
      <c r="D20" s="483">
        <v>31518</v>
      </c>
      <c r="E20" s="483">
        <v>16031738</v>
      </c>
      <c r="F20" s="484" t="s">
        <v>990</v>
      </c>
      <c r="O20" t="s">
        <v>996</v>
      </c>
      <c r="P20" s="615">
        <v>562935</v>
      </c>
      <c r="Q20" s="615">
        <v>2153547</v>
      </c>
      <c r="R20"/>
      <c r="S20"/>
      <c r="T20"/>
      <c r="U20"/>
    </row>
    <row r="21" spans="1:21" ht="15.75" thickBot="1" x14ac:dyDescent="0.3">
      <c r="A21" s="484" t="s">
        <v>1011</v>
      </c>
      <c r="B21" s="134">
        <f t="shared" si="1"/>
        <v>445619</v>
      </c>
      <c r="C21" s="483">
        <v>474957</v>
      </c>
      <c r="D21" s="483">
        <v>29338</v>
      </c>
      <c r="E21" s="483">
        <v>15635604</v>
      </c>
      <c r="F21" s="485" t="s">
        <v>991</v>
      </c>
      <c r="O21" t="s">
        <v>7</v>
      </c>
      <c r="P21" s="615">
        <v>7525632</v>
      </c>
      <c r="Q21" s="615">
        <v>25072152</v>
      </c>
      <c r="R21"/>
      <c r="S21"/>
      <c r="T21"/>
      <c r="U21"/>
    </row>
    <row r="22" spans="1:21" ht="15.75" thickBot="1" x14ac:dyDescent="0.3">
      <c r="A22" s="484" t="s">
        <v>1011</v>
      </c>
      <c r="B22" s="134">
        <f t="shared" si="1"/>
        <v>447810</v>
      </c>
      <c r="C22" s="483">
        <v>474957</v>
      </c>
      <c r="D22" s="483">
        <v>27147</v>
      </c>
      <c r="E22" s="483">
        <v>15237522</v>
      </c>
      <c r="F22" s="484" t="s">
        <v>992</v>
      </c>
      <c r="O22"/>
      <c r="P22"/>
      <c r="Q22"/>
    </row>
    <row r="23" spans="1:21" ht="15.75" thickBot="1" x14ac:dyDescent="0.3">
      <c r="A23" s="484" t="s">
        <v>1011</v>
      </c>
      <c r="B23" s="134">
        <f t="shared" si="1"/>
        <v>450012</v>
      </c>
      <c r="C23" s="483">
        <v>474957</v>
      </c>
      <c r="D23" s="483">
        <v>24945</v>
      </c>
      <c r="E23" s="483">
        <v>14837483</v>
      </c>
      <c r="F23" s="484" t="s">
        <v>993</v>
      </c>
      <c r="O23"/>
      <c r="P23"/>
      <c r="Q23"/>
    </row>
    <row r="24" spans="1:21" ht="15.75" thickBot="1" x14ac:dyDescent="0.3">
      <c r="A24" s="484" t="s">
        <v>1011</v>
      </c>
      <c r="B24" s="134">
        <f t="shared" si="1"/>
        <v>452224</v>
      </c>
      <c r="C24" s="483">
        <v>474957</v>
      </c>
      <c r="D24" s="483">
        <v>22733</v>
      </c>
      <c r="E24" s="483">
        <v>14435477</v>
      </c>
      <c r="F24" s="485" t="s">
        <v>994</v>
      </c>
      <c r="O24"/>
      <c r="P24"/>
      <c r="Q24"/>
    </row>
    <row r="25" spans="1:21" ht="15.75" thickBot="1" x14ac:dyDescent="0.3">
      <c r="A25" s="484" t="s">
        <v>1011</v>
      </c>
      <c r="B25" s="134">
        <f t="shared" si="1"/>
        <v>454448</v>
      </c>
      <c r="C25" s="483">
        <v>474957</v>
      </c>
      <c r="D25" s="483">
        <v>20509</v>
      </c>
      <c r="E25" s="483">
        <v>14031494</v>
      </c>
      <c r="F25" s="484" t="s">
        <v>995</v>
      </c>
    </row>
    <row r="26" spans="1:21" ht="15.75" thickBot="1" x14ac:dyDescent="0.3">
      <c r="A26" s="484" t="s">
        <v>1011</v>
      </c>
      <c r="B26" s="134">
        <f>+C26-D26</f>
        <v>456682</v>
      </c>
      <c r="C26" s="483">
        <v>474957</v>
      </c>
      <c r="D26" s="483">
        <v>18275</v>
      </c>
      <c r="E26" s="483">
        <v>13625525</v>
      </c>
      <c r="F26" s="484" t="s">
        <v>996</v>
      </c>
    </row>
    <row r="27" spans="1:21" ht="15.75" thickBot="1" x14ac:dyDescent="0.3">
      <c r="A27" s="489" t="s">
        <v>1012</v>
      </c>
      <c r="B27" s="133">
        <f>+C27-D27</f>
        <v>373672</v>
      </c>
      <c r="C27" s="487">
        <v>508592</v>
      </c>
      <c r="D27" s="488">
        <v>134920</v>
      </c>
      <c r="E27" s="488">
        <v>31150205</v>
      </c>
      <c r="F27" s="484" t="s">
        <v>985</v>
      </c>
    </row>
    <row r="28" spans="1:21" ht="15.75" thickBot="1" x14ac:dyDescent="0.3">
      <c r="A28" s="71" t="s">
        <v>1012</v>
      </c>
      <c r="B28" s="134">
        <f t="shared" ref="B28:B38" si="2">+C28-D28</f>
        <v>375852</v>
      </c>
      <c r="C28" s="490">
        <v>508592</v>
      </c>
      <c r="D28" s="490">
        <v>132740</v>
      </c>
      <c r="E28" s="490">
        <v>30823322</v>
      </c>
      <c r="F28" s="484" t="s">
        <v>986</v>
      </c>
    </row>
    <row r="29" spans="1:21" ht="15.75" thickBot="1" x14ac:dyDescent="0.3">
      <c r="A29" s="71" t="s">
        <v>1012</v>
      </c>
      <c r="B29" s="134">
        <f t="shared" si="2"/>
        <v>378044</v>
      </c>
      <c r="C29" s="490">
        <v>508592</v>
      </c>
      <c r="D29" s="490">
        <v>130548</v>
      </c>
      <c r="E29" s="490">
        <v>30494533</v>
      </c>
      <c r="F29" s="484" t="s">
        <v>987</v>
      </c>
    </row>
    <row r="30" spans="1:21" ht="15.75" thickBot="1" x14ac:dyDescent="0.3">
      <c r="A30" s="71" t="s">
        <v>1012</v>
      </c>
      <c r="B30" s="134">
        <f t="shared" si="2"/>
        <v>380249</v>
      </c>
      <c r="C30" s="490">
        <v>508592</v>
      </c>
      <c r="D30" s="490">
        <v>128343</v>
      </c>
      <c r="E30" s="490">
        <v>30163826</v>
      </c>
      <c r="F30" s="485" t="s">
        <v>988</v>
      </c>
    </row>
    <row r="31" spans="1:21" ht="15.75" thickBot="1" x14ac:dyDescent="0.3">
      <c r="A31" s="71" t="s">
        <v>1012</v>
      </c>
      <c r="B31" s="134">
        <f t="shared" si="2"/>
        <v>382467</v>
      </c>
      <c r="C31" s="490">
        <v>508592</v>
      </c>
      <c r="D31" s="490">
        <v>126125</v>
      </c>
      <c r="E31" s="490">
        <v>29831190</v>
      </c>
      <c r="F31" s="484" t="s">
        <v>989</v>
      </c>
    </row>
    <row r="32" spans="1:21" ht="15.75" thickBot="1" x14ac:dyDescent="0.3">
      <c r="A32" s="71" t="s">
        <v>1012</v>
      </c>
      <c r="B32" s="134">
        <f t="shared" si="2"/>
        <v>384698</v>
      </c>
      <c r="C32" s="483">
        <v>508592</v>
      </c>
      <c r="D32" s="483">
        <v>123894</v>
      </c>
      <c r="E32" s="483">
        <v>29496613</v>
      </c>
      <c r="F32" s="484" t="s">
        <v>990</v>
      </c>
    </row>
    <row r="33" spans="1:14" ht="15.75" thickBot="1" x14ac:dyDescent="0.3">
      <c r="A33" s="71" t="s">
        <v>1012</v>
      </c>
      <c r="B33" s="134">
        <f t="shared" si="2"/>
        <v>386942</v>
      </c>
      <c r="C33" s="483">
        <v>508592</v>
      </c>
      <c r="D33" s="483">
        <v>121650</v>
      </c>
      <c r="E33" s="483">
        <v>29160084</v>
      </c>
      <c r="F33" s="485" t="s">
        <v>991</v>
      </c>
    </row>
    <row r="34" spans="1:14" ht="15.75" thickBot="1" x14ac:dyDescent="0.3">
      <c r="A34" s="71" t="s">
        <v>1012</v>
      </c>
      <c r="B34" s="134">
        <f t="shared" si="2"/>
        <v>389200</v>
      </c>
      <c r="C34" s="483">
        <v>508592</v>
      </c>
      <c r="D34" s="483">
        <v>119392</v>
      </c>
      <c r="E34" s="483">
        <v>28821592</v>
      </c>
      <c r="F34" s="484" t="s">
        <v>992</v>
      </c>
    </row>
    <row r="35" spans="1:14" ht="15.75" thickBot="1" x14ac:dyDescent="0.3">
      <c r="A35" s="71" t="s">
        <v>1012</v>
      </c>
      <c r="B35" s="134">
        <f t="shared" si="2"/>
        <v>391470</v>
      </c>
      <c r="C35" s="483">
        <v>508592</v>
      </c>
      <c r="D35" s="483">
        <v>117122</v>
      </c>
      <c r="E35" s="483">
        <v>28481126</v>
      </c>
      <c r="F35" s="484" t="s">
        <v>993</v>
      </c>
    </row>
    <row r="36" spans="1:14" ht="15.75" thickBot="1" x14ac:dyDescent="0.3">
      <c r="A36" s="71" t="s">
        <v>1012</v>
      </c>
      <c r="B36" s="134">
        <f t="shared" si="2"/>
        <v>393754</v>
      </c>
      <c r="C36" s="483">
        <v>508592</v>
      </c>
      <c r="D36" s="483">
        <v>114838</v>
      </c>
      <c r="E36" s="483">
        <v>28138674</v>
      </c>
      <c r="F36" s="485" t="s">
        <v>994</v>
      </c>
    </row>
    <row r="37" spans="1:14" ht="15.75" thickBot="1" x14ac:dyDescent="0.3">
      <c r="A37" s="71" t="s">
        <v>1012</v>
      </c>
      <c r="B37" s="134">
        <f t="shared" si="2"/>
        <v>396050</v>
      </c>
      <c r="C37" s="483">
        <v>508592</v>
      </c>
      <c r="D37" s="483">
        <v>112542</v>
      </c>
      <c r="E37" s="483">
        <v>27794224</v>
      </c>
      <c r="F37" s="484" t="s">
        <v>995</v>
      </c>
    </row>
    <row r="38" spans="1:14" ht="15.75" thickBot="1" x14ac:dyDescent="0.3">
      <c r="A38" s="71" t="s">
        <v>1012</v>
      </c>
      <c r="B38" s="134">
        <f t="shared" si="2"/>
        <v>398361</v>
      </c>
      <c r="C38" s="483">
        <v>508592</v>
      </c>
      <c r="D38" s="483">
        <v>110231</v>
      </c>
      <c r="E38" s="483">
        <v>27447765</v>
      </c>
      <c r="F38" s="484" t="s">
        <v>996</v>
      </c>
    </row>
    <row r="39" spans="1:14" ht="15.75" thickBot="1" x14ac:dyDescent="0.3">
      <c r="A39" s="486" t="s">
        <v>1013</v>
      </c>
      <c r="B39" s="133">
        <f>+C39-D39</f>
        <v>339377</v>
      </c>
      <c r="C39" s="487">
        <v>506964</v>
      </c>
      <c r="D39" s="488">
        <v>167587</v>
      </c>
      <c r="E39" s="488">
        <v>36014142</v>
      </c>
      <c r="F39" s="484" t="s">
        <v>985</v>
      </c>
    </row>
    <row r="40" spans="1:14" ht="15.75" thickBot="1" x14ac:dyDescent="0.3">
      <c r="A40" s="491" t="s">
        <v>1013</v>
      </c>
      <c r="B40" s="134">
        <f t="shared" ref="B40:B50" si="3">+C40-D40</f>
        <v>341356</v>
      </c>
      <c r="C40" s="483">
        <v>506964</v>
      </c>
      <c r="D40" s="483">
        <v>165608</v>
      </c>
      <c r="E40" s="483">
        <v>35717260</v>
      </c>
      <c r="F40" s="484" t="s">
        <v>986</v>
      </c>
    </row>
    <row r="41" spans="1:14" ht="15.75" thickBot="1" x14ac:dyDescent="0.3">
      <c r="A41" s="491" t="s">
        <v>1013</v>
      </c>
      <c r="B41" s="134">
        <f t="shared" si="3"/>
        <v>343347</v>
      </c>
      <c r="C41" s="483">
        <v>506964</v>
      </c>
      <c r="D41" s="483">
        <v>163617</v>
      </c>
      <c r="E41" s="483">
        <v>35418647</v>
      </c>
      <c r="F41" s="484" t="s">
        <v>987</v>
      </c>
    </row>
    <row r="42" spans="1:14" ht="15.75" thickBot="1" x14ac:dyDescent="0.3">
      <c r="A42" s="491" t="s">
        <v>1013</v>
      </c>
      <c r="B42" s="134">
        <f t="shared" si="3"/>
        <v>345350</v>
      </c>
      <c r="C42" s="483">
        <v>506964</v>
      </c>
      <c r="D42" s="483">
        <v>161614</v>
      </c>
      <c r="E42" s="483">
        <v>35118292</v>
      </c>
      <c r="F42" s="485" t="s">
        <v>988</v>
      </c>
    </row>
    <row r="43" spans="1:14" ht="15.75" thickBot="1" x14ac:dyDescent="0.3">
      <c r="A43" s="491" t="s">
        <v>1013</v>
      </c>
      <c r="B43" s="134">
        <f t="shared" si="3"/>
        <v>347365</v>
      </c>
      <c r="C43" s="483">
        <v>506964</v>
      </c>
      <c r="D43" s="483">
        <v>159599</v>
      </c>
      <c r="E43" s="483">
        <v>34816185</v>
      </c>
      <c r="F43" s="484" t="s">
        <v>989</v>
      </c>
    </row>
    <row r="44" spans="1:14" ht="15.75" thickBot="1" x14ac:dyDescent="0.3">
      <c r="A44" s="491" t="s">
        <v>1013</v>
      </c>
      <c r="B44" s="134">
        <f t="shared" si="3"/>
        <v>349391</v>
      </c>
      <c r="C44" s="483">
        <v>506964</v>
      </c>
      <c r="D44" s="483">
        <v>157573</v>
      </c>
      <c r="E44" s="483">
        <v>34512315</v>
      </c>
      <c r="F44" s="484" t="s">
        <v>990</v>
      </c>
    </row>
    <row r="45" spans="1:14" ht="15.75" thickBot="1" x14ac:dyDescent="0.3">
      <c r="A45" s="491" t="s">
        <v>1013</v>
      </c>
      <c r="B45" s="134">
        <f t="shared" si="3"/>
        <v>351429</v>
      </c>
      <c r="C45" s="483">
        <v>506964</v>
      </c>
      <c r="D45" s="483">
        <v>155535</v>
      </c>
      <c r="E45" s="483">
        <v>34206673</v>
      </c>
      <c r="F45" s="485" t="s">
        <v>991</v>
      </c>
    </row>
    <row r="46" spans="1:14" ht="15.75" thickBot="1" x14ac:dyDescent="0.3">
      <c r="A46" s="491" t="s">
        <v>1013</v>
      </c>
      <c r="B46" s="134">
        <f t="shared" si="3"/>
        <v>353479</v>
      </c>
      <c r="C46" s="483">
        <v>506964</v>
      </c>
      <c r="D46" s="483">
        <v>153485</v>
      </c>
      <c r="E46" s="483">
        <v>33899248</v>
      </c>
      <c r="F46" s="484" t="s">
        <v>992</v>
      </c>
    </row>
    <row r="47" spans="1:14" ht="15.75" thickBot="1" x14ac:dyDescent="0.3">
      <c r="A47" s="491" t="s">
        <v>1013</v>
      </c>
      <c r="B47" s="134">
        <f t="shared" si="3"/>
        <v>355541</v>
      </c>
      <c r="C47" s="483">
        <v>506964</v>
      </c>
      <c r="D47" s="483">
        <v>151423</v>
      </c>
      <c r="E47" s="483">
        <v>33590030</v>
      </c>
      <c r="F47" s="484" t="s">
        <v>993</v>
      </c>
    </row>
    <row r="48" spans="1:14" ht="18.75" customHeight="1" thickBot="1" x14ac:dyDescent="0.3">
      <c r="A48" s="491" t="s">
        <v>1013</v>
      </c>
      <c r="B48" s="134">
        <f t="shared" si="3"/>
        <v>357615</v>
      </c>
      <c r="C48" s="483">
        <v>506964</v>
      </c>
      <c r="D48" s="483">
        <v>149349</v>
      </c>
      <c r="E48" s="483">
        <v>33279008</v>
      </c>
      <c r="F48" s="485" t="s">
        <v>994</v>
      </c>
      <c r="J48" s="492"/>
      <c r="K48" s="492"/>
      <c r="L48" s="492"/>
      <c r="M48" s="493"/>
      <c r="N48" s="493"/>
    </row>
    <row r="49" spans="1:17" ht="15.75" thickBot="1" x14ac:dyDescent="0.3">
      <c r="A49" s="491" t="s">
        <v>1013</v>
      </c>
      <c r="B49" s="134">
        <f t="shared" si="3"/>
        <v>359701</v>
      </c>
      <c r="C49" s="483">
        <v>506964</v>
      </c>
      <c r="D49" s="483">
        <v>147263</v>
      </c>
      <c r="E49" s="483">
        <v>32966171</v>
      </c>
      <c r="F49" s="484" t="s">
        <v>995</v>
      </c>
      <c r="J49" s="492"/>
      <c r="K49" s="492"/>
      <c r="L49" s="492"/>
      <c r="M49" s="492"/>
      <c r="N49" s="492"/>
    </row>
    <row r="50" spans="1:17" ht="15.75" thickBot="1" x14ac:dyDescent="0.3">
      <c r="A50" s="491" t="s">
        <v>1013</v>
      </c>
      <c r="B50" s="134">
        <f t="shared" si="3"/>
        <v>361797</v>
      </c>
      <c r="C50" s="483">
        <v>506964</v>
      </c>
      <c r="D50" s="483">
        <v>145167</v>
      </c>
      <c r="E50" s="483">
        <v>32651510</v>
      </c>
      <c r="F50" s="484" t="s">
        <v>996</v>
      </c>
      <c r="J50" s="492"/>
      <c r="K50" s="492"/>
      <c r="L50" s="492"/>
      <c r="M50" s="492"/>
      <c r="N50" s="492"/>
    </row>
    <row r="51" spans="1:17" ht="15.75" thickBot="1" x14ac:dyDescent="0.3">
      <c r="A51" s="489" t="s">
        <v>1014</v>
      </c>
      <c r="B51" s="133">
        <f>+C51-D51</f>
        <v>212286</v>
      </c>
      <c r="C51" s="488">
        <v>448570</v>
      </c>
      <c r="D51" s="488">
        <v>236284</v>
      </c>
      <c r="E51" s="488">
        <v>50771451</v>
      </c>
      <c r="F51" s="484" t="s">
        <v>985</v>
      </c>
      <c r="J51" s="492"/>
      <c r="K51" s="492"/>
      <c r="L51" s="492"/>
      <c r="M51" s="492"/>
      <c r="N51" s="492"/>
    </row>
    <row r="52" spans="1:17" ht="15.75" thickBot="1" x14ac:dyDescent="0.3">
      <c r="A52" s="71" t="s">
        <v>1014</v>
      </c>
      <c r="B52" s="134">
        <f t="shared" ref="B52:B61" si="4">+C52-D52</f>
        <v>213347</v>
      </c>
      <c r="C52" s="483">
        <v>448570</v>
      </c>
      <c r="D52" s="483">
        <v>235223</v>
      </c>
      <c r="E52" s="483">
        <v>50581252</v>
      </c>
      <c r="F52" s="484" t="s">
        <v>986</v>
      </c>
      <c r="H52" s="489"/>
      <c r="J52" s="492"/>
      <c r="K52" s="492"/>
      <c r="L52" s="492"/>
      <c r="M52" s="492"/>
      <c r="N52" s="492"/>
    </row>
    <row r="53" spans="1:17" ht="15.75" thickBot="1" x14ac:dyDescent="0.3">
      <c r="A53" s="71" t="s">
        <v>1014</v>
      </c>
      <c r="B53" s="134">
        <f t="shared" si="4"/>
        <v>214414</v>
      </c>
      <c r="C53" s="483">
        <v>448570</v>
      </c>
      <c r="D53" s="483">
        <v>234156</v>
      </c>
      <c r="E53" s="483">
        <v>50390102</v>
      </c>
      <c r="F53" s="484" t="s">
        <v>987</v>
      </c>
      <c r="J53" s="492"/>
      <c r="K53" s="492"/>
      <c r="L53" s="492"/>
      <c r="M53" s="492"/>
      <c r="N53" s="492"/>
    </row>
    <row r="54" spans="1:17" ht="15.75" thickBot="1" x14ac:dyDescent="0.3">
      <c r="A54" s="71" t="s">
        <v>1014</v>
      </c>
      <c r="B54" s="134">
        <f t="shared" si="4"/>
        <v>215486</v>
      </c>
      <c r="C54" s="483">
        <v>448570</v>
      </c>
      <c r="D54" s="483">
        <v>233084</v>
      </c>
      <c r="E54" s="483">
        <v>50197997</v>
      </c>
      <c r="F54" s="485" t="s">
        <v>988</v>
      </c>
      <c r="J54" s="492"/>
      <c r="K54" s="492"/>
      <c r="L54" s="492"/>
      <c r="M54" s="492"/>
      <c r="N54" s="492"/>
    </row>
    <row r="55" spans="1:17" ht="15.75" thickBot="1" x14ac:dyDescent="0.3">
      <c r="A55" s="71" t="s">
        <v>1014</v>
      </c>
      <c r="B55" s="134">
        <f t="shared" si="4"/>
        <v>216563</v>
      </c>
      <c r="C55" s="483">
        <v>448570</v>
      </c>
      <c r="D55" s="483">
        <v>232007</v>
      </c>
      <c r="E55" s="483">
        <v>50004931</v>
      </c>
      <c r="F55" s="484" t="s">
        <v>989</v>
      </c>
      <c r="J55" s="492"/>
      <c r="K55" s="492"/>
      <c r="L55" s="492"/>
      <c r="M55" s="492"/>
      <c r="N55" s="492"/>
    </row>
    <row r="56" spans="1:17" ht="15.75" thickBot="1" x14ac:dyDescent="0.3">
      <c r="A56" s="71" t="s">
        <v>1014</v>
      </c>
      <c r="B56" s="134">
        <f t="shared" si="4"/>
        <v>217646</v>
      </c>
      <c r="C56" s="483">
        <v>448570</v>
      </c>
      <c r="D56" s="483">
        <v>230924</v>
      </c>
      <c r="E56" s="483">
        <v>49810900</v>
      </c>
      <c r="F56" s="484" t="s">
        <v>990</v>
      </c>
      <c r="J56" s="492"/>
      <c r="K56" s="492"/>
      <c r="L56" s="492"/>
      <c r="M56" s="492"/>
      <c r="N56" s="492"/>
    </row>
    <row r="57" spans="1:17" ht="15.75" thickBot="1" x14ac:dyDescent="0.3">
      <c r="A57" s="71" t="s">
        <v>1014</v>
      </c>
      <c r="B57" s="134">
        <f t="shared" si="4"/>
        <v>218734</v>
      </c>
      <c r="C57" s="483">
        <v>448570</v>
      </c>
      <c r="D57" s="483">
        <v>229836</v>
      </c>
      <c r="E57" s="483">
        <v>49615899</v>
      </c>
      <c r="F57" s="485" t="s">
        <v>991</v>
      </c>
      <c r="J57" s="492"/>
      <c r="K57" s="492"/>
      <c r="L57" s="492"/>
      <c r="M57" s="492"/>
      <c r="N57" s="492"/>
    </row>
    <row r="58" spans="1:17" ht="15.75" thickBot="1" x14ac:dyDescent="0.3">
      <c r="A58" s="71" t="s">
        <v>1014</v>
      </c>
      <c r="B58" s="134">
        <f t="shared" si="4"/>
        <v>219828</v>
      </c>
      <c r="C58" s="483">
        <v>448570</v>
      </c>
      <c r="D58" s="483">
        <v>228742</v>
      </c>
      <c r="E58" s="483">
        <v>49419923</v>
      </c>
      <c r="F58" s="484" t="s">
        <v>992</v>
      </c>
      <c r="J58" s="492"/>
      <c r="K58" s="492"/>
      <c r="L58" s="492"/>
      <c r="M58" s="492"/>
      <c r="N58" s="492"/>
    </row>
    <row r="59" spans="1:17" ht="15.75" thickBot="1" x14ac:dyDescent="0.3">
      <c r="A59" s="71" t="s">
        <v>1014</v>
      </c>
      <c r="B59" s="134">
        <f t="shared" si="4"/>
        <v>220927</v>
      </c>
      <c r="C59" s="483">
        <v>448570</v>
      </c>
      <c r="D59" s="483">
        <v>227643</v>
      </c>
      <c r="E59" s="483">
        <v>49222967</v>
      </c>
      <c r="F59" s="484" t="s">
        <v>993</v>
      </c>
      <c r="J59" s="492"/>
      <c r="K59" s="492"/>
      <c r="L59" s="492"/>
      <c r="M59" s="493"/>
      <c r="N59" s="493"/>
    </row>
    <row r="60" spans="1:17" ht="15.75" thickBot="1" x14ac:dyDescent="0.3">
      <c r="A60" s="71" t="s">
        <v>1014</v>
      </c>
      <c r="B60" s="134">
        <f t="shared" si="4"/>
        <v>222032</v>
      </c>
      <c r="C60" s="483">
        <v>448570</v>
      </c>
      <c r="D60" s="483">
        <v>226538</v>
      </c>
      <c r="E60" s="483">
        <v>49025026</v>
      </c>
      <c r="F60" s="485" t="s">
        <v>994</v>
      </c>
    </row>
    <row r="61" spans="1:17" ht="15.75" thickBot="1" x14ac:dyDescent="0.3">
      <c r="A61" s="71" t="s">
        <v>1014</v>
      </c>
      <c r="B61" s="134">
        <f t="shared" si="4"/>
        <v>223142</v>
      </c>
      <c r="C61" s="483">
        <v>448570</v>
      </c>
      <c r="D61" s="483">
        <v>225428</v>
      </c>
      <c r="E61" s="483">
        <v>48826095</v>
      </c>
      <c r="F61" s="484" t="s">
        <v>995</v>
      </c>
    </row>
    <row r="62" spans="1:17" x14ac:dyDescent="0.25">
      <c r="A62" s="71" t="s">
        <v>1014</v>
      </c>
      <c r="B62" s="134">
        <f>+C62-D62</f>
        <v>224258</v>
      </c>
      <c r="C62" s="483">
        <v>448570</v>
      </c>
      <c r="D62" s="483">
        <v>224312</v>
      </c>
      <c r="E62" s="483">
        <v>48626169</v>
      </c>
      <c r="F62" s="484" t="s">
        <v>996</v>
      </c>
    </row>
    <row r="63" spans="1:17" x14ac:dyDescent="0.25">
      <c r="A63" s="603"/>
      <c r="B63" s="134"/>
      <c r="E63" s="468"/>
      <c r="F63" s="468"/>
      <c r="Q63" s="71">
        <f>76000000/3</f>
        <v>25333333.333333332</v>
      </c>
    </row>
    <row r="64" spans="1:17" x14ac:dyDescent="0.25">
      <c r="A64" s="603" t="s">
        <v>1145</v>
      </c>
      <c r="B64" s="134">
        <v>21728221</v>
      </c>
      <c r="D64" s="136">
        <v>3000000</v>
      </c>
      <c r="E64" s="468"/>
      <c r="F64" s="468"/>
    </row>
    <row r="65" spans="1:6" x14ac:dyDescent="0.25">
      <c r="A65" s="603" t="s">
        <v>1146</v>
      </c>
      <c r="B65" s="134">
        <v>19326292</v>
      </c>
      <c r="D65" s="136">
        <v>3000000</v>
      </c>
      <c r="E65" s="468"/>
      <c r="F65" s="468"/>
    </row>
    <row r="66" spans="1:6" x14ac:dyDescent="0.25">
      <c r="B66" s="134"/>
      <c r="D66" s="468"/>
      <c r="E66" s="468"/>
      <c r="F66" s="468"/>
    </row>
    <row r="67" spans="1:6" x14ac:dyDescent="0.25">
      <c r="B67" s="134"/>
      <c r="D67" s="468"/>
      <c r="E67" s="468"/>
      <c r="F67" s="468"/>
    </row>
    <row r="68" spans="1:6" x14ac:dyDescent="0.25">
      <c r="B68" s="134"/>
      <c r="D68" s="468"/>
      <c r="E68" s="468"/>
      <c r="F68" s="468"/>
    </row>
    <row r="69" spans="1:6" x14ac:dyDescent="0.25">
      <c r="B69" s="134"/>
      <c r="D69" s="468"/>
      <c r="E69" s="468"/>
      <c r="F69" s="468"/>
    </row>
    <row r="70" spans="1:6" x14ac:dyDescent="0.25">
      <c r="B70" s="134"/>
      <c r="D70" s="468"/>
      <c r="E70" s="468"/>
      <c r="F70" s="468"/>
    </row>
    <row r="71" spans="1:6" x14ac:dyDescent="0.25">
      <c r="B71" s="134"/>
      <c r="D71" s="468"/>
      <c r="E71" s="468"/>
      <c r="F71" s="468"/>
    </row>
    <row r="72" spans="1:6" x14ac:dyDescent="0.25">
      <c r="B72" s="134"/>
      <c r="D72" s="468"/>
      <c r="E72" s="468"/>
      <c r="F72" s="468"/>
    </row>
    <row r="73" spans="1:6" x14ac:dyDescent="0.25">
      <c r="B73" s="134"/>
      <c r="D73" s="468"/>
      <c r="E73" s="468"/>
      <c r="F73" s="468"/>
    </row>
    <row r="74" spans="1:6" x14ac:dyDescent="0.25">
      <c r="D74" s="468"/>
      <c r="E74" s="468">
        <f>+GETPIVOTDATA("Soma de juros",'anexo planofinanceiro'!$O$7)</f>
        <v>7525632</v>
      </c>
    </row>
    <row r="75" spans="1:6" x14ac:dyDescent="0.25">
      <c r="D75" s="468"/>
      <c r="E75" s="468"/>
    </row>
    <row r="76" spans="1:6" x14ac:dyDescent="0.25">
      <c r="D76" s="468"/>
      <c r="E76" s="468"/>
    </row>
    <row r="77" spans="1:6" x14ac:dyDescent="0.25">
      <c r="D77" s="468"/>
      <c r="E77" s="468"/>
    </row>
    <row r="79" spans="1:6" x14ac:dyDescent="0.25">
      <c r="E79" s="136">
        <f>7000*0.15</f>
        <v>1050</v>
      </c>
    </row>
  </sheetData>
  <mergeCells count="1">
    <mergeCell ref="A1:F1"/>
  </mergeCells>
  <pageMargins left="0.78740157480314965" right="0" top="0.74803149606299213" bottom="0.74803149606299213" header="0.31496062992125984" footer="0.31496062992125984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89"/>
  <sheetViews>
    <sheetView topLeftCell="G1" workbookViewId="0">
      <selection activeCell="J25" sqref="J25"/>
    </sheetView>
  </sheetViews>
  <sheetFormatPr defaultRowHeight="15" x14ac:dyDescent="0.25"/>
  <cols>
    <col min="1" max="1" width="5" style="71" hidden="1" customWidth="1"/>
    <col min="2" max="2" width="0" style="71" hidden="1" customWidth="1"/>
    <col min="3" max="3" width="22.28515625" style="71" hidden="1" customWidth="1"/>
    <col min="4" max="4" width="14.7109375" style="71" hidden="1" customWidth="1"/>
    <col min="5" max="5" width="19.5703125" style="71" hidden="1" customWidth="1"/>
    <col min="6" max="6" width="0" style="71" hidden="1" customWidth="1"/>
    <col min="7" max="7" width="9.140625" style="71"/>
    <col min="8" max="8" width="10.7109375" style="71" bestFit="1" customWidth="1"/>
    <col min="9" max="9" width="13.5703125" style="71" customWidth="1"/>
    <col min="10" max="10" width="20" style="71" customWidth="1"/>
    <col min="11" max="11" width="9.140625" style="71"/>
    <col min="12" max="12" width="15.5703125" style="71" customWidth="1"/>
    <col min="13" max="16384" width="9.140625" style="71"/>
  </cols>
  <sheetData>
    <row r="4" spans="2:14" ht="15.75" x14ac:dyDescent="0.25">
      <c r="B4" s="633" t="s">
        <v>0</v>
      </c>
      <c r="C4" s="633"/>
      <c r="D4" s="633"/>
      <c r="E4" s="633"/>
      <c r="F4" s="343"/>
      <c r="G4" s="343"/>
      <c r="H4" s="343"/>
      <c r="I4" s="343"/>
      <c r="J4" s="343"/>
    </row>
    <row r="5" spans="2:14" ht="15.75" x14ac:dyDescent="0.25">
      <c r="B5" s="633" t="s">
        <v>1</v>
      </c>
      <c r="C5" s="633"/>
      <c r="D5" s="633"/>
      <c r="E5" s="633"/>
      <c r="F5" s="343"/>
      <c r="G5" s="343"/>
      <c r="H5" s="343"/>
      <c r="I5" s="343"/>
      <c r="J5" s="343"/>
    </row>
    <row r="6" spans="2:14" ht="15.75" x14ac:dyDescent="0.25">
      <c r="B6" s="634" t="s">
        <v>975</v>
      </c>
      <c r="C6" s="634"/>
      <c r="D6" s="634"/>
      <c r="E6" s="634"/>
      <c r="F6" s="345"/>
      <c r="G6" s="345"/>
      <c r="H6" s="345"/>
      <c r="I6" s="345"/>
      <c r="J6" s="345"/>
    </row>
    <row r="7" spans="2:14" ht="10.5" customHeight="1" thickBot="1" x14ac:dyDescent="0.3"/>
    <row r="8" spans="2:14" x14ac:dyDescent="0.25">
      <c r="B8" s="635" t="s">
        <v>976</v>
      </c>
      <c r="C8" s="636"/>
      <c r="D8" s="636"/>
      <c r="E8" s="637"/>
    </row>
    <row r="9" spans="2:14" ht="15.75" thickBot="1" x14ac:dyDescent="0.3">
      <c r="B9" s="638"/>
      <c r="C9" s="639"/>
      <c r="D9" s="639"/>
      <c r="E9" s="640"/>
      <c r="I9" s="136"/>
      <c r="J9" s="136"/>
    </row>
    <row r="10" spans="2:14" x14ac:dyDescent="0.25">
      <c r="B10" s="467"/>
      <c r="C10" s="467"/>
      <c r="D10" s="467"/>
      <c r="E10" s="467"/>
      <c r="I10" s="136"/>
      <c r="J10" s="468" t="s">
        <v>977</v>
      </c>
    </row>
    <row r="11" spans="2:14" x14ac:dyDescent="0.25">
      <c r="B11" s="469"/>
      <c r="C11" s="470" t="s">
        <v>978</v>
      </c>
      <c r="D11" s="470" t="s">
        <v>979</v>
      </c>
      <c r="E11" s="470" t="s">
        <v>980</v>
      </c>
      <c r="H11"/>
      <c r="I11"/>
      <c r="J11"/>
      <c r="K11"/>
      <c r="L11"/>
      <c r="M11"/>
      <c r="N11"/>
    </row>
    <row r="12" spans="2:14" x14ac:dyDescent="0.25">
      <c r="B12" s="284">
        <v>1</v>
      </c>
      <c r="C12" s="471">
        <v>489647</v>
      </c>
      <c r="D12" s="472">
        <v>204569</v>
      </c>
      <c r="E12" s="472">
        <f t="shared" ref="E12:E23" si="0">+C12-D12</f>
        <v>285078</v>
      </c>
      <c r="H12"/>
      <c r="I12"/>
      <c r="J12"/>
      <c r="K12"/>
      <c r="L12"/>
      <c r="M12"/>
      <c r="N12"/>
    </row>
    <row r="13" spans="2:14" x14ac:dyDescent="0.25">
      <c r="B13" s="284">
        <v>2</v>
      </c>
      <c r="C13" s="471">
        <v>489647</v>
      </c>
      <c r="D13" s="472">
        <v>202906</v>
      </c>
      <c r="E13" s="472">
        <f t="shared" si="0"/>
        <v>286741</v>
      </c>
      <c r="H13"/>
      <c r="I13"/>
      <c r="J13"/>
      <c r="K13"/>
      <c r="L13"/>
      <c r="M13"/>
      <c r="N13"/>
    </row>
    <row r="14" spans="2:14" x14ac:dyDescent="0.25">
      <c r="B14" s="284">
        <v>3</v>
      </c>
      <c r="C14" s="471">
        <v>489647</v>
      </c>
      <c r="D14" s="472">
        <v>201234</v>
      </c>
      <c r="E14" s="472">
        <f t="shared" si="0"/>
        <v>288413</v>
      </c>
      <c r="H14"/>
      <c r="I14"/>
      <c r="J14"/>
      <c r="K14"/>
      <c r="L14"/>
      <c r="M14"/>
      <c r="N14"/>
    </row>
    <row r="15" spans="2:14" x14ac:dyDescent="0.25">
      <c r="B15" s="284">
        <v>4</v>
      </c>
      <c r="C15" s="471">
        <v>489647</v>
      </c>
      <c r="D15" s="472">
        <v>199551</v>
      </c>
      <c r="E15" s="472">
        <f t="shared" si="0"/>
        <v>290096</v>
      </c>
      <c r="H15"/>
      <c r="I15"/>
      <c r="J15"/>
      <c r="K15"/>
      <c r="L15"/>
      <c r="M15"/>
      <c r="N15"/>
    </row>
    <row r="16" spans="2:14" x14ac:dyDescent="0.25">
      <c r="B16" s="284">
        <v>5</v>
      </c>
      <c r="C16" s="471">
        <v>489647</v>
      </c>
      <c r="D16" s="472">
        <v>197859</v>
      </c>
      <c r="E16" s="472">
        <f t="shared" si="0"/>
        <v>291788</v>
      </c>
      <c r="H16"/>
      <c r="I16"/>
      <c r="J16"/>
      <c r="K16"/>
      <c r="L16"/>
      <c r="M16"/>
      <c r="N16"/>
    </row>
    <row r="17" spans="2:14" x14ac:dyDescent="0.25">
      <c r="B17" s="284">
        <v>6</v>
      </c>
      <c r="C17" s="471">
        <v>489647</v>
      </c>
      <c r="D17" s="472">
        <v>196157</v>
      </c>
      <c r="E17" s="472">
        <f t="shared" si="0"/>
        <v>293490</v>
      </c>
      <c r="H17"/>
      <c r="I17"/>
      <c r="J17"/>
      <c r="K17"/>
      <c r="L17"/>
      <c r="M17"/>
      <c r="N17"/>
    </row>
    <row r="18" spans="2:14" x14ac:dyDescent="0.25">
      <c r="B18" s="284">
        <v>7</v>
      </c>
      <c r="C18" s="471">
        <v>489647</v>
      </c>
      <c r="D18" s="472">
        <v>194445</v>
      </c>
      <c r="E18" s="472">
        <f t="shared" si="0"/>
        <v>295202</v>
      </c>
      <c r="H18"/>
      <c r="I18"/>
      <c r="J18"/>
      <c r="K18"/>
      <c r="L18"/>
      <c r="M18"/>
      <c r="N18"/>
    </row>
    <row r="19" spans="2:14" x14ac:dyDescent="0.25">
      <c r="B19" s="284">
        <v>8</v>
      </c>
      <c r="C19" s="471">
        <v>489647</v>
      </c>
      <c r="D19" s="472">
        <v>192723</v>
      </c>
      <c r="E19" s="472">
        <f t="shared" si="0"/>
        <v>296924</v>
      </c>
      <c r="H19"/>
      <c r="I19"/>
      <c r="J19"/>
      <c r="K19"/>
      <c r="L19"/>
      <c r="M19"/>
      <c r="N19"/>
    </row>
    <row r="20" spans="2:14" x14ac:dyDescent="0.25">
      <c r="B20" s="284">
        <v>9</v>
      </c>
      <c r="C20" s="471">
        <v>489647</v>
      </c>
      <c r="D20" s="472">
        <v>190991</v>
      </c>
      <c r="E20" s="472">
        <f t="shared" si="0"/>
        <v>298656</v>
      </c>
      <c r="H20"/>
      <c r="I20"/>
      <c r="J20"/>
      <c r="K20"/>
      <c r="L20"/>
      <c r="M20"/>
      <c r="N20"/>
    </row>
    <row r="21" spans="2:14" x14ac:dyDescent="0.25">
      <c r="B21" s="284">
        <v>10</v>
      </c>
      <c r="C21" s="471">
        <v>489647</v>
      </c>
      <c r="D21" s="472">
        <v>189249</v>
      </c>
      <c r="E21" s="472">
        <f t="shared" si="0"/>
        <v>300398</v>
      </c>
      <c r="H21"/>
      <c r="I21"/>
      <c r="J21"/>
      <c r="K21"/>
      <c r="L21"/>
      <c r="M21"/>
      <c r="N21"/>
    </row>
    <row r="22" spans="2:14" x14ac:dyDescent="0.25">
      <c r="B22" s="284">
        <v>11</v>
      </c>
      <c r="C22" s="471">
        <v>489647</v>
      </c>
      <c r="D22" s="472">
        <v>187496</v>
      </c>
      <c r="E22" s="472">
        <f t="shared" si="0"/>
        <v>302151</v>
      </c>
      <c r="H22"/>
      <c r="I22"/>
      <c r="J22"/>
      <c r="K22"/>
      <c r="L22"/>
      <c r="M22"/>
      <c r="N22"/>
    </row>
    <row r="23" spans="2:14" x14ac:dyDescent="0.25">
      <c r="B23" s="473">
        <v>12</v>
      </c>
      <c r="C23" s="471">
        <v>489647</v>
      </c>
      <c r="D23" s="474">
        <v>185734</v>
      </c>
      <c r="E23" s="472">
        <f t="shared" si="0"/>
        <v>303913</v>
      </c>
      <c r="H23"/>
      <c r="I23"/>
      <c r="J23"/>
      <c r="K23"/>
      <c r="L23"/>
      <c r="M23"/>
      <c r="N23"/>
    </row>
    <row r="24" spans="2:14" x14ac:dyDescent="0.25">
      <c r="B24" s="629" t="s">
        <v>700</v>
      </c>
      <c r="C24" s="630"/>
      <c r="D24" s="475">
        <f>SUM(D12:D23)</f>
        <v>2342914</v>
      </c>
      <c r="E24" s="475">
        <f>SUM(E12:E23)</f>
        <v>3532850</v>
      </c>
      <c r="H24"/>
      <c r="I24"/>
      <c r="J24"/>
      <c r="K24"/>
      <c r="L24"/>
      <c r="M24"/>
      <c r="N24"/>
    </row>
    <row r="25" spans="2:14" x14ac:dyDescent="0.25">
      <c r="H25"/>
      <c r="I25"/>
      <c r="J25"/>
    </row>
    <row r="26" spans="2:14" x14ac:dyDescent="0.25">
      <c r="B26" s="469"/>
      <c r="C26" s="470" t="s">
        <v>997</v>
      </c>
      <c r="D26" s="470" t="s">
        <v>979</v>
      </c>
      <c r="E26" s="470" t="s">
        <v>980</v>
      </c>
    </row>
    <row r="27" spans="2:14" x14ac:dyDescent="0.25">
      <c r="B27" s="284">
        <v>1</v>
      </c>
      <c r="C27" s="471">
        <v>491220</v>
      </c>
      <c r="D27" s="472">
        <v>177334</v>
      </c>
      <c r="E27" s="472">
        <f>+C27-D27</f>
        <v>313886</v>
      </c>
    </row>
    <row r="28" spans="2:14" x14ac:dyDescent="0.25">
      <c r="B28" s="284">
        <v>2</v>
      </c>
      <c r="C28" s="471">
        <v>491220</v>
      </c>
      <c r="D28" s="472">
        <v>175503</v>
      </c>
      <c r="E28" s="472">
        <f t="shared" ref="E28:E38" si="1">+C28-D28</f>
        <v>315717</v>
      </c>
    </row>
    <row r="29" spans="2:14" x14ac:dyDescent="0.25">
      <c r="B29" s="284">
        <v>3</v>
      </c>
      <c r="C29" s="471">
        <v>491220</v>
      </c>
      <c r="D29" s="472">
        <v>173661</v>
      </c>
      <c r="E29" s="472">
        <f t="shared" si="1"/>
        <v>317559</v>
      </c>
    </row>
    <row r="30" spans="2:14" x14ac:dyDescent="0.25">
      <c r="B30" s="284">
        <v>4</v>
      </c>
      <c r="C30" s="471">
        <v>491220</v>
      </c>
      <c r="D30" s="472">
        <v>171809</v>
      </c>
      <c r="E30" s="472">
        <f t="shared" si="1"/>
        <v>319411</v>
      </c>
    </row>
    <row r="31" spans="2:14" x14ac:dyDescent="0.25">
      <c r="B31" s="284">
        <v>5</v>
      </c>
      <c r="C31" s="471">
        <v>491220</v>
      </c>
      <c r="D31" s="472">
        <v>169945</v>
      </c>
      <c r="E31" s="472">
        <f t="shared" si="1"/>
        <v>321275</v>
      </c>
    </row>
    <row r="32" spans="2:14" x14ac:dyDescent="0.25">
      <c r="B32" s="284">
        <v>6</v>
      </c>
      <c r="C32" s="471">
        <v>491220</v>
      </c>
      <c r="D32" s="472">
        <v>168071</v>
      </c>
      <c r="E32" s="472">
        <f t="shared" si="1"/>
        <v>323149</v>
      </c>
    </row>
    <row r="33" spans="2:5" x14ac:dyDescent="0.25">
      <c r="B33" s="284">
        <v>7</v>
      </c>
      <c r="C33" s="471">
        <v>491220</v>
      </c>
      <c r="D33" s="472">
        <v>166186</v>
      </c>
      <c r="E33" s="472">
        <f t="shared" si="1"/>
        <v>325034</v>
      </c>
    </row>
    <row r="34" spans="2:5" x14ac:dyDescent="0.25">
      <c r="B34" s="284">
        <v>8</v>
      </c>
      <c r="C34" s="471">
        <v>491220</v>
      </c>
      <c r="D34" s="472">
        <v>164290</v>
      </c>
      <c r="E34" s="472">
        <f t="shared" si="1"/>
        <v>326930</v>
      </c>
    </row>
    <row r="35" spans="2:5" x14ac:dyDescent="0.25">
      <c r="B35" s="284">
        <v>9</v>
      </c>
      <c r="C35" s="471">
        <v>491220</v>
      </c>
      <c r="D35" s="472">
        <v>162383</v>
      </c>
      <c r="E35" s="472">
        <f t="shared" si="1"/>
        <v>328837</v>
      </c>
    </row>
    <row r="36" spans="2:5" x14ac:dyDescent="0.25">
      <c r="B36" s="284">
        <v>10</v>
      </c>
      <c r="C36" s="471">
        <v>491220</v>
      </c>
      <c r="D36" s="472">
        <v>160465</v>
      </c>
      <c r="E36" s="472">
        <f t="shared" si="1"/>
        <v>330755</v>
      </c>
    </row>
    <row r="37" spans="2:5" x14ac:dyDescent="0.25">
      <c r="B37" s="284">
        <v>11</v>
      </c>
      <c r="C37" s="471">
        <v>491220</v>
      </c>
      <c r="D37" s="472">
        <v>158535</v>
      </c>
      <c r="E37" s="472">
        <f t="shared" si="1"/>
        <v>332685</v>
      </c>
    </row>
    <row r="38" spans="2:5" x14ac:dyDescent="0.25">
      <c r="B38" s="284">
        <v>12</v>
      </c>
      <c r="C38" s="471">
        <v>491220</v>
      </c>
      <c r="D38" s="472">
        <v>156595</v>
      </c>
      <c r="E38" s="472">
        <f t="shared" si="1"/>
        <v>334625</v>
      </c>
    </row>
    <row r="39" spans="2:5" x14ac:dyDescent="0.25">
      <c r="B39" s="629" t="s">
        <v>700</v>
      </c>
      <c r="C39" s="630"/>
      <c r="D39" s="476">
        <f>SUM(D27:D38)</f>
        <v>2004777</v>
      </c>
      <c r="E39" s="477">
        <f>SUM(E27:E38)</f>
        <v>3889863</v>
      </c>
    </row>
    <row r="41" spans="2:5" x14ac:dyDescent="0.25">
      <c r="B41" s="469"/>
      <c r="C41" s="470" t="s">
        <v>998</v>
      </c>
      <c r="D41" s="470" t="s">
        <v>979</v>
      </c>
      <c r="E41" s="470" t="s">
        <v>980</v>
      </c>
    </row>
    <row r="42" spans="2:5" x14ac:dyDescent="0.25">
      <c r="B42" s="284">
        <v>1</v>
      </c>
      <c r="C42" s="626" t="s">
        <v>999</v>
      </c>
      <c r="D42" s="472"/>
      <c r="E42" s="472">
        <v>0</v>
      </c>
    </row>
    <row r="43" spans="2:5" x14ac:dyDescent="0.25">
      <c r="B43" s="284">
        <v>2</v>
      </c>
      <c r="C43" s="627"/>
      <c r="D43" s="472"/>
      <c r="E43" s="472">
        <f>+C43-D43</f>
        <v>0</v>
      </c>
    </row>
    <row r="44" spans="2:5" x14ac:dyDescent="0.25">
      <c r="B44" s="284">
        <v>3</v>
      </c>
      <c r="C44" s="628"/>
      <c r="D44" s="472"/>
      <c r="E44" s="472">
        <f>+C44-D44</f>
        <v>0</v>
      </c>
    </row>
    <row r="45" spans="2:5" x14ac:dyDescent="0.25">
      <c r="B45" s="629" t="s">
        <v>700</v>
      </c>
      <c r="C45" s="630"/>
      <c r="D45" s="475">
        <f>SUM(D42:D44)</f>
        <v>0</v>
      </c>
      <c r="E45" s="475">
        <f>SUM(E42:E44)</f>
        <v>0</v>
      </c>
    </row>
    <row r="48" spans="2:5" x14ac:dyDescent="0.25">
      <c r="B48" s="469"/>
      <c r="C48" s="470" t="s">
        <v>1000</v>
      </c>
      <c r="D48" s="470" t="s">
        <v>979</v>
      </c>
      <c r="E48" s="470" t="s">
        <v>980</v>
      </c>
    </row>
    <row r="49" spans="2:5" x14ac:dyDescent="0.25">
      <c r="B49" s="284">
        <v>1</v>
      </c>
      <c r="C49" s="471">
        <v>461403</v>
      </c>
      <c r="D49" s="472">
        <v>87733</v>
      </c>
      <c r="E49" s="472">
        <f>+C49-D49</f>
        <v>373670</v>
      </c>
    </row>
    <row r="50" spans="2:5" x14ac:dyDescent="0.25">
      <c r="B50" s="284">
        <v>2</v>
      </c>
      <c r="C50" s="471">
        <v>461403</v>
      </c>
      <c r="D50" s="472">
        <v>85896</v>
      </c>
      <c r="E50" s="472">
        <f t="shared" ref="E50:E60" si="2">+C50-D50</f>
        <v>375507</v>
      </c>
    </row>
    <row r="51" spans="2:5" x14ac:dyDescent="0.25">
      <c r="B51" s="284">
        <v>3</v>
      </c>
      <c r="C51" s="471">
        <v>461403</v>
      </c>
      <c r="D51" s="472">
        <v>84050</v>
      </c>
      <c r="E51" s="472">
        <f t="shared" si="2"/>
        <v>377353</v>
      </c>
    </row>
    <row r="52" spans="2:5" x14ac:dyDescent="0.25">
      <c r="B52" s="284">
        <v>4</v>
      </c>
      <c r="C52" s="471">
        <v>461403</v>
      </c>
      <c r="D52" s="472">
        <v>82194</v>
      </c>
      <c r="E52" s="472">
        <f t="shared" si="2"/>
        <v>379209</v>
      </c>
    </row>
    <row r="53" spans="2:5" x14ac:dyDescent="0.25">
      <c r="B53" s="284">
        <v>5</v>
      </c>
      <c r="C53" s="471">
        <v>461403</v>
      </c>
      <c r="D53" s="472">
        <v>80330</v>
      </c>
      <c r="E53" s="472">
        <f t="shared" si="2"/>
        <v>381073</v>
      </c>
    </row>
    <row r="54" spans="2:5" x14ac:dyDescent="0.25">
      <c r="B54" s="284">
        <v>6</v>
      </c>
      <c r="C54" s="471">
        <v>461403</v>
      </c>
      <c r="D54" s="472">
        <v>78456</v>
      </c>
      <c r="E54" s="472">
        <f t="shared" si="2"/>
        <v>382947</v>
      </c>
    </row>
    <row r="55" spans="2:5" x14ac:dyDescent="0.25">
      <c r="B55" s="284">
        <v>7</v>
      </c>
      <c r="C55" s="471">
        <v>461403</v>
      </c>
      <c r="D55" s="472">
        <v>76573</v>
      </c>
      <c r="E55" s="472">
        <f t="shared" si="2"/>
        <v>384830</v>
      </c>
    </row>
    <row r="56" spans="2:5" x14ac:dyDescent="0.25">
      <c r="B56" s="284">
        <v>8</v>
      </c>
      <c r="C56" s="471">
        <v>461403</v>
      </c>
      <c r="D56" s="472">
        <v>74681</v>
      </c>
      <c r="E56" s="472">
        <f t="shared" si="2"/>
        <v>386722</v>
      </c>
    </row>
    <row r="57" spans="2:5" x14ac:dyDescent="0.25">
      <c r="B57" s="284">
        <v>9</v>
      </c>
      <c r="C57" s="471">
        <v>461403</v>
      </c>
      <c r="D57" s="472">
        <v>72780</v>
      </c>
      <c r="E57" s="472">
        <f t="shared" si="2"/>
        <v>388623</v>
      </c>
    </row>
    <row r="58" spans="2:5" x14ac:dyDescent="0.25">
      <c r="B58" s="284">
        <v>10</v>
      </c>
      <c r="C58" s="471">
        <v>461403</v>
      </c>
      <c r="D58" s="472">
        <v>70869</v>
      </c>
      <c r="E58" s="472">
        <f t="shared" si="2"/>
        <v>390534</v>
      </c>
    </row>
    <row r="59" spans="2:5" x14ac:dyDescent="0.25">
      <c r="B59" s="284">
        <v>11</v>
      </c>
      <c r="C59" s="471">
        <v>461403</v>
      </c>
      <c r="D59" s="472">
        <v>68949</v>
      </c>
      <c r="E59" s="472">
        <f t="shared" si="2"/>
        <v>392454</v>
      </c>
    </row>
    <row r="60" spans="2:5" x14ac:dyDescent="0.25">
      <c r="B60" s="473">
        <v>12</v>
      </c>
      <c r="C60" s="471">
        <v>461403</v>
      </c>
      <c r="D60" s="474">
        <v>67019</v>
      </c>
      <c r="E60" s="474">
        <f t="shared" si="2"/>
        <v>394384</v>
      </c>
    </row>
    <row r="61" spans="2:5" x14ac:dyDescent="0.25">
      <c r="B61" s="629" t="s">
        <v>700</v>
      </c>
      <c r="C61" s="630"/>
      <c r="D61" s="475">
        <f>SUM(D49:D60)</f>
        <v>929530</v>
      </c>
      <c r="E61" s="475">
        <f>SUM(E49:E60)</f>
        <v>4607306</v>
      </c>
    </row>
    <row r="63" spans="2:5" x14ac:dyDescent="0.25">
      <c r="B63" s="469"/>
      <c r="C63" s="470" t="s">
        <v>1001</v>
      </c>
      <c r="D63" s="470" t="s">
        <v>979</v>
      </c>
      <c r="E63" s="470" t="s">
        <v>980</v>
      </c>
    </row>
    <row r="64" spans="2:5" x14ac:dyDescent="0.25">
      <c r="B64" s="284">
        <v>1</v>
      </c>
      <c r="C64" s="471">
        <v>751198</v>
      </c>
      <c r="D64" s="472">
        <v>189564</v>
      </c>
      <c r="E64" s="472">
        <f>+C64-D64</f>
        <v>561634</v>
      </c>
    </row>
    <row r="65" spans="2:5" x14ac:dyDescent="0.25">
      <c r="B65" s="284">
        <v>2</v>
      </c>
      <c r="C65" s="471">
        <v>751198</v>
      </c>
      <c r="D65" s="472">
        <v>186288</v>
      </c>
      <c r="E65" s="472">
        <f t="shared" ref="E65:E75" si="3">+C65-D65</f>
        <v>564910</v>
      </c>
    </row>
    <row r="66" spans="2:5" x14ac:dyDescent="0.25">
      <c r="B66" s="284">
        <v>3</v>
      </c>
      <c r="C66" s="471">
        <v>751198</v>
      </c>
      <c r="D66" s="472">
        <v>182993</v>
      </c>
      <c r="E66" s="472">
        <f t="shared" si="3"/>
        <v>568205</v>
      </c>
    </row>
    <row r="67" spans="2:5" x14ac:dyDescent="0.25">
      <c r="B67" s="284">
        <v>4</v>
      </c>
      <c r="C67" s="471">
        <v>751198</v>
      </c>
      <c r="D67" s="472">
        <v>179678</v>
      </c>
      <c r="E67" s="472">
        <f t="shared" si="3"/>
        <v>571520</v>
      </c>
    </row>
    <row r="68" spans="2:5" x14ac:dyDescent="0.25">
      <c r="B68" s="284">
        <v>5</v>
      </c>
      <c r="C68" s="471">
        <v>751198</v>
      </c>
      <c r="D68" s="472">
        <v>176344</v>
      </c>
      <c r="E68" s="472">
        <f t="shared" si="3"/>
        <v>574854</v>
      </c>
    </row>
    <row r="69" spans="2:5" x14ac:dyDescent="0.25">
      <c r="B69" s="284">
        <v>6</v>
      </c>
      <c r="C69" s="471">
        <v>751198</v>
      </c>
      <c r="D69" s="472">
        <v>172991</v>
      </c>
      <c r="E69" s="472">
        <f t="shared" si="3"/>
        <v>578207</v>
      </c>
    </row>
    <row r="70" spans="2:5" x14ac:dyDescent="0.25">
      <c r="B70" s="284">
        <v>7</v>
      </c>
      <c r="C70" s="471">
        <v>751198</v>
      </c>
      <c r="D70" s="472">
        <v>169618</v>
      </c>
      <c r="E70" s="472">
        <f t="shared" si="3"/>
        <v>581580</v>
      </c>
    </row>
    <row r="71" spans="2:5" x14ac:dyDescent="0.25">
      <c r="B71" s="284">
        <v>8</v>
      </c>
      <c r="C71" s="471">
        <v>751198</v>
      </c>
      <c r="D71" s="472">
        <v>166226</v>
      </c>
      <c r="E71" s="472">
        <f t="shared" si="3"/>
        <v>584972</v>
      </c>
    </row>
    <row r="72" spans="2:5" x14ac:dyDescent="0.25">
      <c r="B72" s="284">
        <v>9</v>
      </c>
      <c r="C72" s="471">
        <v>751198</v>
      </c>
      <c r="D72" s="472">
        <v>162813</v>
      </c>
      <c r="E72" s="472">
        <f t="shared" si="3"/>
        <v>588385</v>
      </c>
    </row>
    <row r="73" spans="2:5" x14ac:dyDescent="0.25">
      <c r="B73" s="284">
        <v>10</v>
      </c>
      <c r="C73" s="471">
        <v>751198</v>
      </c>
      <c r="D73" s="472">
        <v>159381</v>
      </c>
      <c r="E73" s="472">
        <f t="shared" si="3"/>
        <v>591817</v>
      </c>
    </row>
    <row r="74" spans="2:5" x14ac:dyDescent="0.25">
      <c r="B74" s="284">
        <v>11</v>
      </c>
      <c r="C74" s="471">
        <v>751198</v>
      </c>
      <c r="D74" s="472">
        <v>155929</v>
      </c>
      <c r="E74" s="472">
        <f t="shared" si="3"/>
        <v>595269</v>
      </c>
    </row>
    <row r="75" spans="2:5" x14ac:dyDescent="0.25">
      <c r="B75" s="473">
        <v>12</v>
      </c>
      <c r="C75" s="471">
        <v>751198</v>
      </c>
      <c r="D75" s="474">
        <v>152456</v>
      </c>
      <c r="E75" s="474">
        <f t="shared" si="3"/>
        <v>598742</v>
      </c>
    </row>
    <row r="76" spans="2:5" x14ac:dyDescent="0.25">
      <c r="B76" s="629" t="s">
        <v>700</v>
      </c>
      <c r="C76" s="630"/>
      <c r="D76" s="475">
        <f>SUM(D64:D75)</f>
        <v>2054281</v>
      </c>
      <c r="E76" s="475">
        <f>SUM(E64:E75)</f>
        <v>6960095</v>
      </c>
    </row>
    <row r="79" spans="2:5" x14ac:dyDescent="0.25">
      <c r="C79" s="631" t="s">
        <v>1002</v>
      </c>
      <c r="D79" s="631"/>
      <c r="E79" s="478">
        <f>+D76+D61+D45+D39+D24</f>
        <v>7331502</v>
      </c>
    </row>
    <row r="80" spans="2:5" x14ac:dyDescent="0.25">
      <c r="C80" s="632" t="s">
        <v>1003</v>
      </c>
      <c r="D80" s="632"/>
      <c r="E80" s="479">
        <f>+E61+E45+E39+E24+E76</f>
        <v>18990114</v>
      </c>
    </row>
    <row r="83" spans="2:5" x14ac:dyDescent="0.25">
      <c r="B83" s="623" t="s">
        <v>1004</v>
      </c>
      <c r="C83" s="623"/>
      <c r="D83" s="623"/>
      <c r="E83" s="623"/>
    </row>
    <row r="84" spans="2:5" x14ac:dyDescent="0.25">
      <c r="B84" s="480"/>
      <c r="C84" s="480"/>
      <c r="D84" s="480"/>
    </row>
    <row r="85" spans="2:5" x14ac:dyDescent="0.25">
      <c r="B85" s="480"/>
      <c r="C85" s="480"/>
      <c r="D85" s="480"/>
    </row>
    <row r="86" spans="2:5" x14ac:dyDescent="0.25">
      <c r="B86" s="622" t="s">
        <v>376</v>
      </c>
      <c r="C86" s="622"/>
      <c r="D86" s="622"/>
      <c r="E86" s="622"/>
    </row>
    <row r="87" spans="2:5" x14ac:dyDescent="0.25">
      <c r="B87" s="481"/>
      <c r="C87" s="481"/>
      <c r="D87" s="481"/>
    </row>
    <row r="88" spans="2:5" x14ac:dyDescent="0.25">
      <c r="B88" s="624" t="s">
        <v>377</v>
      </c>
      <c r="C88" s="624"/>
      <c r="D88" s="624"/>
      <c r="E88" s="624"/>
    </row>
    <row r="89" spans="2:5" x14ac:dyDescent="0.25">
      <c r="B89" s="625" t="s">
        <v>378</v>
      </c>
      <c r="C89" s="625"/>
      <c r="D89" s="625"/>
      <c r="E89" s="625"/>
    </row>
  </sheetData>
  <mergeCells count="16">
    <mergeCell ref="B39:C39"/>
    <mergeCell ref="B4:E4"/>
    <mergeCell ref="B5:E5"/>
    <mergeCell ref="B6:E6"/>
    <mergeCell ref="B8:E9"/>
    <mergeCell ref="B24:C24"/>
    <mergeCell ref="B83:E83"/>
    <mergeCell ref="B86:E86"/>
    <mergeCell ref="B88:E88"/>
    <mergeCell ref="B89:E89"/>
    <mergeCell ref="C42:C44"/>
    <mergeCell ref="B45:C45"/>
    <mergeCell ref="B61:C61"/>
    <mergeCell ref="B76:C76"/>
    <mergeCell ref="C79:D79"/>
    <mergeCell ref="C80:D80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D380"/>
  <sheetViews>
    <sheetView topLeftCell="A106" zoomScale="90" zoomScaleNormal="90" workbookViewId="0">
      <selection activeCell="E134" sqref="E134"/>
    </sheetView>
  </sheetViews>
  <sheetFormatPr defaultColWidth="14.42578125" defaultRowHeight="14.25" customHeight="1" x14ac:dyDescent="0.2"/>
  <cols>
    <col min="1" max="1" width="1.7109375" style="4" customWidth="1"/>
    <col min="2" max="2" width="17.85546875" style="4" customWidth="1"/>
    <col min="3" max="3" width="57.42578125" style="4" customWidth="1"/>
    <col min="4" max="4" width="16.85546875" style="10" customWidth="1"/>
    <col min="5" max="5" width="19.42578125" style="4" customWidth="1"/>
    <col min="6" max="6" width="18.5703125" style="4" customWidth="1"/>
    <col min="7" max="7" width="3.140625" style="4" customWidth="1"/>
    <col min="8" max="8" width="16.7109375" style="1" hidden="1" customWidth="1"/>
    <col min="9" max="9" width="14.42578125" style="1" hidden="1" customWidth="1"/>
    <col min="10" max="10" width="15" style="1" hidden="1" customWidth="1"/>
    <col min="11" max="11" width="14.42578125" style="1" hidden="1" customWidth="1"/>
    <col min="12" max="12" width="19.140625" style="1" hidden="1" customWidth="1"/>
    <col min="13" max="13" width="9" style="2" hidden="1" customWidth="1"/>
    <col min="14" max="14" width="16.5703125" style="1" hidden="1" customWidth="1"/>
    <col min="15" max="15" width="6.28515625" style="1" hidden="1" customWidth="1"/>
    <col min="16" max="16" width="14.28515625" style="3" hidden="1" customWidth="1"/>
    <col min="17" max="17" width="2.42578125" style="4" customWidth="1"/>
    <col min="18" max="20" width="14.42578125" style="4"/>
    <col min="21" max="21" width="19.28515625" style="4" customWidth="1"/>
    <col min="22" max="16384" width="14.42578125" style="4"/>
  </cols>
  <sheetData>
    <row r="1" spans="2:24" ht="14.25" customHeight="1" x14ac:dyDescent="0.25">
      <c r="B1" s="645"/>
      <c r="C1" s="645"/>
      <c r="D1" s="645"/>
      <c r="E1" s="645"/>
      <c r="F1" s="645"/>
      <c r="G1" s="645"/>
      <c r="H1" s="645"/>
      <c r="I1" s="645"/>
      <c r="J1" s="645"/>
    </row>
    <row r="2" spans="2:24" ht="14.25" customHeight="1" x14ac:dyDescent="0.2">
      <c r="B2" s="646"/>
      <c r="C2" s="646"/>
      <c r="D2" s="646"/>
      <c r="E2" s="646"/>
      <c r="F2" s="646"/>
      <c r="G2" s="646"/>
      <c r="H2" s="646"/>
      <c r="I2" s="646"/>
      <c r="J2" s="646"/>
    </row>
    <row r="3" spans="2:24" ht="14.25" customHeight="1" x14ac:dyDescent="0.2">
      <c r="B3" s="5"/>
      <c r="C3" s="5"/>
      <c r="D3" s="5"/>
      <c r="E3" s="5"/>
      <c r="F3" s="5"/>
      <c r="G3" s="5"/>
      <c r="H3" s="5"/>
      <c r="I3" s="5"/>
      <c r="J3" s="5"/>
    </row>
    <row r="4" spans="2:24" ht="14.25" customHeight="1" x14ac:dyDescent="0.2">
      <c r="B4" s="5"/>
      <c r="C4" s="5"/>
      <c r="D4" s="5"/>
      <c r="E4" s="5"/>
      <c r="F4" s="5"/>
      <c r="G4" s="5"/>
      <c r="H4" s="5"/>
      <c r="I4" s="5"/>
      <c r="J4" s="5"/>
    </row>
    <row r="5" spans="2:24" ht="20.25" customHeight="1" x14ac:dyDescent="0.25">
      <c r="B5" s="647" t="s">
        <v>0</v>
      </c>
      <c r="C5" s="647"/>
      <c r="D5" s="6"/>
      <c r="E5" s="6"/>
      <c r="F5" s="6"/>
      <c r="G5" s="6"/>
      <c r="H5" s="6"/>
      <c r="I5" s="6"/>
      <c r="J5" s="6"/>
    </row>
    <row r="6" spans="2:24" ht="14.25" customHeight="1" x14ac:dyDescent="0.25">
      <c r="B6" s="647" t="s">
        <v>1</v>
      </c>
      <c r="C6" s="647"/>
      <c r="D6" s="6"/>
      <c r="E6" s="6"/>
      <c r="F6" s="6"/>
      <c r="G6" s="6"/>
      <c r="H6" s="6"/>
      <c r="I6" s="6"/>
      <c r="J6" s="6"/>
      <c r="Q6" s="4">
        <f>184351284+303600000</f>
        <v>487951284</v>
      </c>
      <c r="R6" s="7"/>
    </row>
    <row r="7" spans="2:24" ht="14.25" customHeight="1" x14ac:dyDescent="0.2">
      <c r="B7" s="648" t="s">
        <v>1125</v>
      </c>
      <c r="C7" s="648"/>
      <c r="D7" s="8"/>
      <c r="E7" s="8"/>
      <c r="F7" s="8"/>
      <c r="G7" s="5"/>
      <c r="H7" s="5"/>
      <c r="I7" s="5"/>
      <c r="J7" s="5"/>
    </row>
    <row r="8" spans="2:24" ht="14.25" customHeight="1" x14ac:dyDescent="0.25">
      <c r="B8" s="649" t="s">
        <v>2</v>
      </c>
      <c r="C8" s="649"/>
      <c r="D8" s="649"/>
      <c r="E8" s="649"/>
      <c r="F8" s="649"/>
      <c r="P8" s="9">
        <v>2587067298</v>
      </c>
    </row>
    <row r="9" spans="2:24" ht="14.25" customHeight="1" x14ac:dyDescent="0.2">
      <c r="F9" s="11"/>
      <c r="P9" s="12"/>
      <c r="Q9" s="13"/>
    </row>
    <row r="10" spans="2:24" ht="24.75" customHeight="1" x14ac:dyDescent="0.2">
      <c r="B10" s="14" t="s">
        <v>3</v>
      </c>
      <c r="C10" s="14" t="s">
        <v>4</v>
      </c>
      <c r="D10" s="14" t="s">
        <v>5</v>
      </c>
      <c r="E10" s="15" t="s">
        <v>6</v>
      </c>
      <c r="F10" s="15" t="s">
        <v>7</v>
      </c>
    </row>
    <row r="11" spans="2:24" ht="6.75" customHeight="1" x14ac:dyDescent="0.2">
      <c r="B11" s="16"/>
      <c r="C11" s="16"/>
      <c r="D11" s="17"/>
      <c r="E11" s="18"/>
      <c r="F11" s="18"/>
    </row>
    <row r="12" spans="2:24" ht="3.75" customHeight="1" x14ac:dyDescent="0.2">
      <c r="B12" s="19"/>
      <c r="C12" s="20"/>
      <c r="D12" s="19"/>
      <c r="E12" s="19"/>
      <c r="F12" s="19"/>
    </row>
    <row r="13" spans="2:24" s="25" customFormat="1" ht="14.25" customHeight="1" x14ac:dyDescent="0.2">
      <c r="B13" s="21" t="s">
        <v>8</v>
      </c>
      <c r="C13" s="22" t="s">
        <v>814</v>
      </c>
      <c r="D13" s="23">
        <f>D15+D35+D65+D130</f>
        <v>277777162</v>
      </c>
      <c r="E13" s="23">
        <f>E15+E35+E65+E130</f>
        <v>247750000</v>
      </c>
      <c r="F13" s="23">
        <f>+F15+F35+F65+F130</f>
        <v>525527162</v>
      </c>
      <c r="G13" s="4"/>
      <c r="H13" s="1"/>
      <c r="I13" s="1"/>
      <c r="J13" s="1"/>
      <c r="K13" s="1"/>
      <c r="L13" s="1"/>
      <c r="M13" s="2" t="s">
        <v>9</v>
      </c>
      <c r="N13" s="1"/>
      <c r="O13" s="1"/>
      <c r="P13" s="24"/>
      <c r="Q13" s="4"/>
      <c r="R13" s="4"/>
      <c r="S13" s="4"/>
      <c r="T13" s="4"/>
      <c r="U13" s="4"/>
      <c r="V13" s="4"/>
      <c r="W13" s="4"/>
      <c r="X13" s="4"/>
    </row>
    <row r="14" spans="2:24" s="32" customFormat="1" ht="9.75" customHeight="1" x14ac:dyDescent="0.2">
      <c r="B14" s="26"/>
      <c r="C14" s="27"/>
      <c r="D14" s="28"/>
      <c r="E14" s="28"/>
      <c r="F14" s="29"/>
      <c r="G14" s="1"/>
      <c r="H14" s="1"/>
      <c r="I14" s="1"/>
      <c r="J14" s="1"/>
      <c r="K14" s="1"/>
      <c r="L14" s="30"/>
      <c r="M14" s="2" t="e">
        <v>#N/A</v>
      </c>
      <c r="N14" s="1"/>
      <c r="O14" s="1" t="s">
        <v>10</v>
      </c>
      <c r="P14" s="2"/>
      <c r="Q14" s="31"/>
      <c r="R14" s="1"/>
      <c r="S14" s="1"/>
      <c r="T14" s="1"/>
      <c r="U14" s="1"/>
      <c r="V14" s="1"/>
      <c r="W14" s="1"/>
      <c r="X14" s="1"/>
    </row>
    <row r="15" spans="2:24" s="42" customFormat="1" ht="14.25" customHeight="1" x14ac:dyDescent="0.2">
      <c r="B15" s="33" t="s">
        <v>11</v>
      </c>
      <c r="C15" s="34" t="s">
        <v>12</v>
      </c>
      <c r="D15" s="35">
        <f>D16+D20+D33</f>
        <v>29375000</v>
      </c>
      <c r="E15" s="35">
        <f>E16+E20+E33</f>
        <v>0</v>
      </c>
      <c r="F15" s="35">
        <f>F16+F20+F33</f>
        <v>29375000</v>
      </c>
      <c r="G15" s="36"/>
      <c r="H15" s="37" t="s">
        <v>13</v>
      </c>
      <c r="I15" s="38"/>
      <c r="J15" s="39"/>
      <c r="K15" s="39"/>
      <c r="L15" s="37" t="s">
        <v>14</v>
      </c>
      <c r="M15" s="40">
        <v>0</v>
      </c>
      <c r="N15" s="41" t="s">
        <v>15</v>
      </c>
      <c r="O15" s="40">
        <v>0</v>
      </c>
      <c r="P15" s="36"/>
      <c r="Q15" s="36"/>
      <c r="R15" s="36"/>
      <c r="S15" s="36"/>
      <c r="T15" s="36"/>
      <c r="U15" s="36"/>
      <c r="V15" s="36"/>
    </row>
    <row r="16" spans="2:24" s="36" customFormat="1" ht="14.25" customHeight="1" x14ac:dyDescent="0.2">
      <c r="B16" s="43" t="s">
        <v>16</v>
      </c>
      <c r="C16" s="44" t="s">
        <v>17</v>
      </c>
      <c r="D16" s="45">
        <f>+D17</f>
        <v>25000000</v>
      </c>
      <c r="E16" s="45">
        <f>SUM(E17)</f>
        <v>0</v>
      </c>
      <c r="F16" s="46">
        <f t="shared" ref="F16:F79" si="0">D16+E16</f>
        <v>25000000</v>
      </c>
      <c r="H16" s="41" t="s">
        <v>13</v>
      </c>
      <c r="I16" s="47" t="s">
        <v>17</v>
      </c>
      <c r="J16" s="39" t="s">
        <v>18</v>
      </c>
      <c r="K16" s="39"/>
      <c r="L16" s="41" t="s">
        <v>19</v>
      </c>
      <c r="M16" s="40">
        <v>0</v>
      </c>
      <c r="N16" s="41" t="s">
        <v>20</v>
      </c>
      <c r="O16" s="40">
        <v>0</v>
      </c>
      <c r="T16" s="61">
        <f>+F13-481531176</f>
        <v>43995986</v>
      </c>
    </row>
    <row r="17" spans="2:30" s="36" customFormat="1" ht="14.25" customHeight="1" x14ac:dyDescent="0.2">
      <c r="B17" s="43" t="s">
        <v>21</v>
      </c>
      <c r="C17" s="44" t="s">
        <v>1043</v>
      </c>
      <c r="D17" s="45">
        <f>+D18</f>
        <v>25000000</v>
      </c>
      <c r="E17" s="45">
        <f>SUM(E18:E19)</f>
        <v>0</v>
      </c>
      <c r="F17" s="46">
        <f t="shared" si="0"/>
        <v>25000000</v>
      </c>
      <c r="H17" s="41" t="s">
        <v>13</v>
      </c>
      <c r="I17" s="47" t="s">
        <v>17</v>
      </c>
      <c r="J17" s="39"/>
      <c r="K17" s="39"/>
      <c r="L17" s="41" t="s">
        <v>22</v>
      </c>
      <c r="M17" s="40">
        <v>0</v>
      </c>
      <c r="N17" s="41" t="s">
        <v>23</v>
      </c>
      <c r="O17" s="40">
        <v>0</v>
      </c>
    </row>
    <row r="18" spans="2:30" ht="12.75" x14ac:dyDescent="0.2">
      <c r="B18" s="48" t="s">
        <v>24</v>
      </c>
      <c r="C18" s="49" t="s">
        <v>1044</v>
      </c>
      <c r="D18" s="50">
        <v>25000000</v>
      </c>
      <c r="E18" s="51"/>
      <c r="F18" s="52">
        <f t="shared" si="0"/>
        <v>25000000</v>
      </c>
      <c r="H18" s="53" t="s">
        <v>13</v>
      </c>
      <c r="I18" s="54" t="s">
        <v>17</v>
      </c>
      <c r="L18" s="53" t="s">
        <v>25</v>
      </c>
      <c r="M18" s="2">
        <v>0</v>
      </c>
      <c r="N18" s="53" t="s">
        <v>26</v>
      </c>
      <c r="O18" s="2">
        <v>0</v>
      </c>
      <c r="P18" s="4"/>
    </row>
    <row r="19" spans="2:30" ht="12.75" x14ac:dyDescent="0.2">
      <c r="B19" s="55" t="s">
        <v>27</v>
      </c>
      <c r="C19" s="56" t="s">
        <v>1045</v>
      </c>
      <c r="D19" s="50">
        <v>0</v>
      </c>
      <c r="E19" s="50">
        <v>0</v>
      </c>
      <c r="F19" s="52">
        <f t="shared" si="0"/>
        <v>0</v>
      </c>
      <c r="H19" s="53" t="s">
        <v>13</v>
      </c>
      <c r="I19" s="54" t="s">
        <v>17</v>
      </c>
      <c r="L19" s="53" t="s">
        <v>28</v>
      </c>
      <c r="M19" s="2">
        <v>0</v>
      </c>
      <c r="N19" s="53" t="s">
        <v>29</v>
      </c>
      <c r="O19" s="2">
        <v>0</v>
      </c>
      <c r="P19" s="4"/>
    </row>
    <row r="20" spans="2:30" s="36" customFormat="1" ht="12.75" x14ac:dyDescent="0.2">
      <c r="B20" s="43" t="s">
        <v>30</v>
      </c>
      <c r="C20" s="44" t="s">
        <v>31</v>
      </c>
      <c r="D20" s="57">
        <f>D21+D24+D26+D27+D30+D32</f>
        <v>3875000</v>
      </c>
      <c r="E20" s="45">
        <f>E21+E24+E26+E27+E30+E32</f>
        <v>0</v>
      </c>
      <c r="F20" s="46">
        <f t="shared" si="0"/>
        <v>3875000</v>
      </c>
      <c r="H20" s="41" t="s">
        <v>13</v>
      </c>
      <c r="I20" s="58" t="s">
        <v>31</v>
      </c>
      <c r="J20" s="59"/>
      <c r="K20" s="39"/>
      <c r="L20" s="41" t="s">
        <v>32</v>
      </c>
      <c r="M20" s="40">
        <v>0</v>
      </c>
      <c r="N20" s="41" t="s">
        <v>33</v>
      </c>
      <c r="O20" s="40">
        <v>0</v>
      </c>
    </row>
    <row r="21" spans="2:30" s="36" customFormat="1" ht="14.25" customHeight="1" x14ac:dyDescent="0.2">
      <c r="B21" s="43" t="s">
        <v>34</v>
      </c>
      <c r="C21" s="44" t="s">
        <v>1046</v>
      </c>
      <c r="D21" s="45">
        <f>SUM(D22:D22)</f>
        <v>100000</v>
      </c>
      <c r="E21" s="45">
        <f>SUM(E22:E22)</f>
        <v>0</v>
      </c>
      <c r="F21" s="46">
        <f t="shared" si="0"/>
        <v>100000</v>
      </c>
      <c r="H21" s="41" t="s">
        <v>13</v>
      </c>
      <c r="I21" s="58" t="s">
        <v>31</v>
      </c>
      <c r="J21" s="39"/>
      <c r="K21" s="39"/>
      <c r="L21" s="41" t="s">
        <v>35</v>
      </c>
      <c r="M21" s="40">
        <v>0</v>
      </c>
      <c r="N21" s="41" t="s">
        <v>36</v>
      </c>
      <c r="O21" s="40">
        <v>0</v>
      </c>
    </row>
    <row r="22" spans="2:30" s="36" customFormat="1" ht="14.25" customHeight="1" x14ac:dyDescent="0.2">
      <c r="B22" s="43" t="s">
        <v>37</v>
      </c>
      <c r="C22" s="44" t="s">
        <v>1047</v>
      </c>
      <c r="D22" s="45">
        <f>D23</f>
        <v>100000</v>
      </c>
      <c r="E22" s="45">
        <f>E23</f>
        <v>0</v>
      </c>
      <c r="F22" s="46">
        <f t="shared" si="0"/>
        <v>100000</v>
      </c>
      <c r="H22" s="41" t="s">
        <v>13</v>
      </c>
      <c r="I22" s="58" t="s">
        <v>31</v>
      </c>
      <c r="J22" s="39"/>
      <c r="K22" s="39"/>
      <c r="L22" s="41" t="s">
        <v>38</v>
      </c>
      <c r="M22" s="40">
        <v>0</v>
      </c>
      <c r="N22" s="41" t="s">
        <v>39</v>
      </c>
      <c r="O22" s="40">
        <v>0</v>
      </c>
      <c r="P22" s="60"/>
      <c r="Q22" s="61">
        <f>+D13-128750000</f>
        <v>149027162</v>
      </c>
    </row>
    <row r="23" spans="2:30" ht="14.25" customHeight="1" x14ac:dyDescent="0.2">
      <c r="B23" s="55" t="s">
        <v>40</v>
      </c>
      <c r="C23" s="4" t="s">
        <v>1121</v>
      </c>
      <c r="D23" s="50">
        <v>100000</v>
      </c>
      <c r="E23" s="50"/>
      <c r="F23" s="52">
        <f t="shared" si="0"/>
        <v>100000</v>
      </c>
      <c r="H23" s="53" t="s">
        <v>13</v>
      </c>
      <c r="I23" s="62" t="s">
        <v>31</v>
      </c>
      <c r="L23" s="53" t="s">
        <v>41</v>
      </c>
      <c r="M23" s="2">
        <v>0</v>
      </c>
      <c r="N23" s="53" t="s">
        <v>42</v>
      </c>
      <c r="O23" s="2">
        <v>0</v>
      </c>
      <c r="P23" s="60"/>
      <c r="Q23" s="63"/>
      <c r="AD23" s="56" t="s">
        <v>1048</v>
      </c>
    </row>
    <row r="24" spans="2:30" s="39" customFormat="1" ht="14.25" customHeight="1" x14ac:dyDescent="0.2">
      <c r="B24" s="43" t="s">
        <v>43</v>
      </c>
      <c r="C24" s="64" t="s">
        <v>1049</v>
      </c>
      <c r="D24" s="45">
        <f>D25</f>
        <v>50000</v>
      </c>
      <c r="E24" s="45">
        <f>E25</f>
        <v>0</v>
      </c>
      <c r="F24" s="46">
        <f t="shared" si="0"/>
        <v>50000</v>
      </c>
      <c r="H24" s="41" t="s">
        <v>13</v>
      </c>
      <c r="I24" s="58" t="s">
        <v>31</v>
      </c>
      <c r="L24" s="41" t="s">
        <v>44</v>
      </c>
      <c r="M24" s="40">
        <v>0</v>
      </c>
      <c r="N24" s="41" t="s">
        <v>45</v>
      </c>
      <c r="O24" s="40">
        <v>0</v>
      </c>
      <c r="P24" s="40"/>
    </row>
    <row r="25" spans="2:30" s="1" customFormat="1" ht="14.25" customHeight="1" x14ac:dyDescent="0.2">
      <c r="B25" s="55" t="s">
        <v>46</v>
      </c>
      <c r="C25" s="65" t="s">
        <v>1050</v>
      </c>
      <c r="D25" s="50">
        <v>50000</v>
      </c>
      <c r="E25" s="50"/>
      <c r="F25" s="52">
        <f t="shared" si="0"/>
        <v>50000</v>
      </c>
      <c r="H25" s="53" t="s">
        <v>13</v>
      </c>
      <c r="I25" s="62" t="s">
        <v>31</v>
      </c>
      <c r="L25" s="53" t="s">
        <v>47</v>
      </c>
      <c r="M25" s="2">
        <v>0</v>
      </c>
      <c r="N25" s="53" t="s">
        <v>48</v>
      </c>
      <c r="O25" s="2">
        <v>0</v>
      </c>
      <c r="P25" s="2"/>
    </row>
    <row r="26" spans="2:30" s="39" customFormat="1" ht="14.25" customHeight="1" x14ac:dyDescent="0.2">
      <c r="B26" s="43" t="s">
        <v>49</v>
      </c>
      <c r="C26" s="64" t="s">
        <v>1051</v>
      </c>
      <c r="D26" s="50">
        <v>50000</v>
      </c>
      <c r="E26" s="50"/>
      <c r="F26" s="52">
        <f t="shared" si="0"/>
        <v>50000</v>
      </c>
      <c r="H26" s="41" t="s">
        <v>13</v>
      </c>
      <c r="I26" s="58" t="s">
        <v>31</v>
      </c>
      <c r="L26" s="41" t="s">
        <v>50</v>
      </c>
      <c r="M26" s="40">
        <v>0</v>
      </c>
      <c r="N26" s="41" t="s">
        <v>51</v>
      </c>
      <c r="O26" s="40">
        <v>0</v>
      </c>
      <c r="P26" s="40"/>
      <c r="U26" s="39">
        <v>192000</v>
      </c>
    </row>
    <row r="27" spans="2:30" s="39" customFormat="1" ht="14.25" customHeight="1" x14ac:dyDescent="0.2">
      <c r="B27" s="43" t="s">
        <v>52</v>
      </c>
      <c r="C27" s="64" t="s">
        <v>1052</v>
      </c>
      <c r="D27" s="50">
        <f>D28+D29</f>
        <v>275000</v>
      </c>
      <c r="E27" s="45">
        <f>E28+E29</f>
        <v>0</v>
      </c>
      <c r="F27" s="46">
        <f t="shared" si="0"/>
        <v>275000</v>
      </c>
      <c r="H27" s="41" t="s">
        <v>13</v>
      </c>
      <c r="I27" s="58" t="s">
        <v>31</v>
      </c>
      <c r="L27" s="41" t="s">
        <v>53</v>
      </c>
      <c r="M27" s="40">
        <v>0</v>
      </c>
      <c r="N27" s="41" t="s">
        <v>54</v>
      </c>
      <c r="O27" s="40">
        <v>0</v>
      </c>
      <c r="P27" s="40"/>
      <c r="U27" s="59">
        <v>148800</v>
      </c>
    </row>
    <row r="28" spans="2:30" s="1" customFormat="1" ht="14.25" customHeight="1" x14ac:dyDescent="0.2">
      <c r="B28" s="55" t="s">
        <v>55</v>
      </c>
      <c r="C28" s="65" t="s">
        <v>1053</v>
      </c>
      <c r="D28" s="50">
        <v>0</v>
      </c>
      <c r="E28" s="50"/>
      <c r="F28" s="52">
        <f t="shared" si="0"/>
        <v>0</v>
      </c>
      <c r="H28" s="53" t="s">
        <v>13</v>
      </c>
      <c r="I28" s="62" t="s">
        <v>31</v>
      </c>
      <c r="L28" s="53" t="s">
        <v>56</v>
      </c>
      <c r="M28" s="2">
        <v>0</v>
      </c>
      <c r="N28" s="53" t="s">
        <v>57</v>
      </c>
      <c r="O28" s="2">
        <v>0</v>
      </c>
      <c r="P28" s="2"/>
      <c r="S28" s="1">
        <v>187600</v>
      </c>
      <c r="U28" s="1">
        <v>184000</v>
      </c>
    </row>
    <row r="29" spans="2:30" s="1" customFormat="1" ht="14.25" customHeight="1" x14ac:dyDescent="0.2">
      <c r="B29" s="55" t="s">
        <v>58</v>
      </c>
      <c r="C29" s="65" t="s">
        <v>1054</v>
      </c>
      <c r="D29" s="50">
        <v>275000</v>
      </c>
      <c r="E29" s="50"/>
      <c r="F29" s="52">
        <f t="shared" si="0"/>
        <v>275000</v>
      </c>
      <c r="H29" s="53" t="s">
        <v>13</v>
      </c>
      <c r="I29" s="62" t="s">
        <v>31</v>
      </c>
      <c r="L29" s="53" t="s">
        <v>59</v>
      </c>
      <c r="M29" s="2">
        <v>0</v>
      </c>
      <c r="N29" s="53" t="s">
        <v>60</v>
      </c>
      <c r="O29" s="2">
        <v>0</v>
      </c>
      <c r="P29" s="2"/>
      <c r="S29" s="1">
        <v>148800</v>
      </c>
      <c r="U29" s="1">
        <v>44800</v>
      </c>
    </row>
    <row r="30" spans="2:30" s="36" customFormat="1" ht="14.25" customHeight="1" x14ac:dyDescent="0.2">
      <c r="B30" s="43" t="s">
        <v>61</v>
      </c>
      <c r="C30" s="44" t="s">
        <v>1055</v>
      </c>
      <c r="D30" s="45">
        <f>SUM(D31:D31)</f>
        <v>3000000</v>
      </c>
      <c r="E30" s="45">
        <f>SUM(E31:E31)</f>
        <v>0</v>
      </c>
      <c r="F30" s="46">
        <f t="shared" si="0"/>
        <v>3000000</v>
      </c>
      <c r="H30" s="66" t="s">
        <v>13</v>
      </c>
      <c r="I30" s="47" t="s">
        <v>31</v>
      </c>
      <c r="J30" s="39"/>
      <c r="K30" s="39"/>
      <c r="L30" s="41" t="s">
        <v>62</v>
      </c>
      <c r="M30" s="40">
        <v>0</v>
      </c>
      <c r="N30" s="41" t="s">
        <v>63</v>
      </c>
      <c r="O30" s="40">
        <v>0</v>
      </c>
      <c r="P30" s="60"/>
      <c r="S30" s="36">
        <v>184000</v>
      </c>
      <c r="U30" s="36">
        <v>350200</v>
      </c>
    </row>
    <row r="31" spans="2:30" ht="12.75" x14ac:dyDescent="0.2">
      <c r="B31" s="55" t="s">
        <v>64</v>
      </c>
      <c r="C31" s="49" t="s">
        <v>1056</v>
      </c>
      <c r="D31" s="51">
        <v>3000000</v>
      </c>
      <c r="E31" s="51"/>
      <c r="F31" s="67">
        <f t="shared" si="0"/>
        <v>3000000</v>
      </c>
      <c r="H31" s="68" t="s">
        <v>13</v>
      </c>
      <c r="I31" s="54" t="s">
        <v>31</v>
      </c>
      <c r="L31" s="53" t="s">
        <v>65</v>
      </c>
      <c r="M31" s="2">
        <v>0</v>
      </c>
      <c r="N31" s="53" t="s">
        <v>66</v>
      </c>
      <c r="O31" s="2">
        <v>0</v>
      </c>
      <c r="P31" s="60"/>
      <c r="S31" s="4">
        <f>SUM(S28:S30)</f>
        <v>520400</v>
      </c>
      <c r="U31" s="4">
        <f>SUM(U26:U30)</f>
        <v>919800</v>
      </c>
    </row>
    <row r="32" spans="2:30" s="1" customFormat="1" ht="12.75" x14ac:dyDescent="0.2">
      <c r="B32" s="55" t="s">
        <v>67</v>
      </c>
      <c r="C32" s="65" t="s">
        <v>1057</v>
      </c>
      <c r="D32" s="50">
        <v>400000</v>
      </c>
      <c r="E32" s="50"/>
      <c r="F32" s="52">
        <f t="shared" si="0"/>
        <v>400000</v>
      </c>
      <c r="H32" s="68" t="s">
        <v>13</v>
      </c>
      <c r="I32" s="54" t="s">
        <v>31</v>
      </c>
      <c r="L32" s="53" t="s">
        <v>68</v>
      </c>
      <c r="M32" s="2">
        <v>0</v>
      </c>
      <c r="N32" s="53" t="s">
        <v>69</v>
      </c>
      <c r="O32" s="2">
        <v>0</v>
      </c>
      <c r="P32" s="2"/>
    </row>
    <row r="33" spans="2:24" s="39" customFormat="1" ht="12.75" x14ac:dyDescent="0.2">
      <c r="B33" s="43" t="s">
        <v>70</v>
      </c>
      <c r="C33" s="64" t="s">
        <v>71</v>
      </c>
      <c r="D33" s="45">
        <f>+D34</f>
        <v>500000</v>
      </c>
      <c r="E33" s="45">
        <f>+E34</f>
        <v>0</v>
      </c>
      <c r="F33" s="46">
        <f>+D33+E33</f>
        <v>500000</v>
      </c>
      <c r="H33" s="66"/>
      <c r="I33" s="47"/>
      <c r="L33" s="41"/>
      <c r="M33" s="40"/>
      <c r="N33" s="41"/>
      <c r="O33" s="40"/>
      <c r="P33" s="40"/>
    </row>
    <row r="34" spans="2:24" s="1" customFormat="1" ht="12.75" x14ac:dyDescent="0.2">
      <c r="B34" s="55" t="s">
        <v>72</v>
      </c>
      <c r="C34" s="65" t="s">
        <v>73</v>
      </c>
      <c r="D34" s="50">
        <v>500000</v>
      </c>
      <c r="E34" s="50">
        <v>0</v>
      </c>
      <c r="F34" s="52">
        <f>+D34+E34</f>
        <v>500000</v>
      </c>
      <c r="H34" s="68"/>
      <c r="I34" s="54"/>
      <c r="L34" s="53"/>
      <c r="M34" s="2"/>
      <c r="N34" s="53"/>
      <c r="O34" s="2"/>
      <c r="P34" s="2"/>
      <c r="U34" s="1">
        <f>+U31-20000</f>
        <v>899800</v>
      </c>
    </row>
    <row r="35" spans="2:24" s="42" customFormat="1" ht="14.25" customHeight="1" x14ac:dyDescent="0.2">
      <c r="B35" s="33" t="s">
        <v>74</v>
      </c>
      <c r="C35" s="34" t="s">
        <v>75</v>
      </c>
      <c r="D35" s="35">
        <f>D36+D47+D58</f>
        <v>209903387</v>
      </c>
      <c r="E35" s="35">
        <f>E36+E47+E58</f>
        <v>180750000</v>
      </c>
      <c r="F35" s="35">
        <f t="shared" si="0"/>
        <v>390653387</v>
      </c>
      <c r="G35" s="36"/>
      <c r="H35" s="41" t="s">
        <v>75</v>
      </c>
      <c r="I35" s="58"/>
      <c r="J35" s="39"/>
      <c r="K35" s="39"/>
      <c r="L35" s="41" t="s">
        <v>76</v>
      </c>
      <c r="M35" s="40">
        <v>0</v>
      </c>
      <c r="N35" s="41" t="s">
        <v>77</v>
      </c>
      <c r="O35" s="40">
        <v>0</v>
      </c>
      <c r="P35" s="60"/>
      <c r="Q35" s="36"/>
      <c r="R35" s="36"/>
      <c r="S35" s="36"/>
      <c r="T35" s="36"/>
      <c r="U35" s="36"/>
      <c r="V35" s="36"/>
      <c r="W35" s="36"/>
      <c r="X35" s="36"/>
    </row>
    <row r="36" spans="2:24" s="36" customFormat="1" ht="14.25" customHeight="1" x14ac:dyDescent="0.2">
      <c r="B36" s="43" t="s">
        <v>78</v>
      </c>
      <c r="C36" s="44" t="s">
        <v>79</v>
      </c>
      <c r="D36" s="45">
        <f>D37+D42</f>
        <v>0</v>
      </c>
      <c r="E36" s="45">
        <f>E37+E42</f>
        <v>0</v>
      </c>
      <c r="F36" s="46">
        <f t="shared" si="0"/>
        <v>0</v>
      </c>
      <c r="H36" s="41" t="s">
        <v>75</v>
      </c>
      <c r="I36" s="58" t="s">
        <v>79</v>
      </c>
      <c r="J36" s="39"/>
      <c r="K36" s="39"/>
      <c r="L36" s="41" t="s">
        <v>80</v>
      </c>
      <c r="M36" s="40">
        <v>0</v>
      </c>
      <c r="N36" s="41" t="s">
        <v>81</v>
      </c>
      <c r="O36" s="40">
        <v>0</v>
      </c>
      <c r="P36" s="60"/>
    </row>
    <row r="37" spans="2:24" s="39" customFormat="1" ht="14.25" customHeight="1" x14ac:dyDescent="0.2">
      <c r="B37" s="43" t="s">
        <v>82</v>
      </c>
      <c r="C37" s="64" t="s">
        <v>578</v>
      </c>
      <c r="D37" s="45">
        <f>SUM(D38:D41)</f>
        <v>0</v>
      </c>
      <c r="E37" s="45">
        <f>SUM(E38:E41)</f>
        <v>0</v>
      </c>
      <c r="F37" s="46">
        <f t="shared" si="0"/>
        <v>0</v>
      </c>
      <c r="H37" s="41" t="s">
        <v>75</v>
      </c>
      <c r="I37" s="58" t="s">
        <v>79</v>
      </c>
      <c r="L37" s="41" t="s">
        <v>83</v>
      </c>
      <c r="M37" s="40">
        <v>0</v>
      </c>
      <c r="N37" s="41" t="s">
        <v>84</v>
      </c>
      <c r="O37" s="40">
        <v>0</v>
      </c>
      <c r="P37" s="40"/>
    </row>
    <row r="38" spans="2:24" s="1" customFormat="1" ht="14.25" customHeight="1" x14ac:dyDescent="0.2">
      <c r="B38" s="55" t="s">
        <v>85</v>
      </c>
      <c r="C38" s="65" t="s">
        <v>1058</v>
      </c>
      <c r="D38" s="50"/>
      <c r="E38" s="50"/>
      <c r="F38" s="46">
        <f t="shared" si="0"/>
        <v>0</v>
      </c>
      <c r="H38" s="53" t="s">
        <v>75</v>
      </c>
      <c r="I38" s="62" t="s">
        <v>79</v>
      </c>
      <c r="L38" s="53" t="s">
        <v>86</v>
      </c>
      <c r="M38" s="2">
        <v>0</v>
      </c>
      <c r="N38" s="53" t="s">
        <v>87</v>
      </c>
      <c r="O38" s="2">
        <v>0</v>
      </c>
      <c r="P38" s="2"/>
      <c r="Q38" s="31"/>
    </row>
    <row r="39" spans="2:24" s="1" customFormat="1" ht="14.25" customHeight="1" x14ac:dyDescent="0.2">
      <c r="B39" s="55" t="s">
        <v>88</v>
      </c>
      <c r="C39" s="65" t="s">
        <v>1059</v>
      </c>
      <c r="D39" s="50"/>
      <c r="E39" s="50"/>
      <c r="F39" s="46">
        <f t="shared" si="0"/>
        <v>0</v>
      </c>
      <c r="H39" s="53" t="s">
        <v>75</v>
      </c>
      <c r="I39" s="62" t="s">
        <v>79</v>
      </c>
      <c r="L39" s="53" t="s">
        <v>89</v>
      </c>
      <c r="M39" s="2">
        <v>0</v>
      </c>
      <c r="N39" s="53" t="s">
        <v>90</v>
      </c>
      <c r="O39" s="2">
        <v>0</v>
      </c>
      <c r="P39" s="2"/>
    </row>
    <row r="40" spans="2:24" s="1" customFormat="1" ht="14.25" customHeight="1" x14ac:dyDescent="0.2">
      <c r="B40" s="55" t="s">
        <v>91</v>
      </c>
      <c r="C40" s="65" t="s">
        <v>1060</v>
      </c>
      <c r="D40" s="50"/>
      <c r="E40" s="50"/>
      <c r="F40" s="46">
        <f t="shared" si="0"/>
        <v>0</v>
      </c>
      <c r="H40" s="53" t="s">
        <v>75</v>
      </c>
      <c r="I40" s="62" t="s">
        <v>79</v>
      </c>
      <c r="L40" s="53" t="s">
        <v>92</v>
      </c>
      <c r="M40" s="2">
        <v>0</v>
      </c>
      <c r="N40" s="53" t="s">
        <v>93</v>
      </c>
      <c r="O40" s="2">
        <v>0</v>
      </c>
      <c r="P40" s="2"/>
      <c r="Q40" s="31">
        <f>F40+E60</f>
        <v>0</v>
      </c>
    </row>
    <row r="41" spans="2:24" s="1" customFormat="1" ht="14.25" customHeight="1" x14ac:dyDescent="0.2">
      <c r="B41" s="55" t="s">
        <v>94</v>
      </c>
      <c r="C41" s="65" t="s">
        <v>1061</v>
      </c>
      <c r="D41" s="50"/>
      <c r="E41" s="50"/>
      <c r="F41" s="46">
        <f t="shared" si="0"/>
        <v>0</v>
      </c>
      <c r="H41" s="53" t="s">
        <v>75</v>
      </c>
      <c r="I41" s="62" t="s">
        <v>79</v>
      </c>
      <c r="L41" s="53" t="s">
        <v>95</v>
      </c>
      <c r="M41" s="2">
        <v>0</v>
      </c>
      <c r="N41" s="53" t="s">
        <v>96</v>
      </c>
      <c r="O41" s="2">
        <v>0</v>
      </c>
      <c r="P41" s="2"/>
    </row>
    <row r="42" spans="2:24" s="36" customFormat="1" ht="14.25" customHeight="1" x14ac:dyDescent="0.2">
      <c r="B42" s="43" t="s">
        <v>97</v>
      </c>
      <c r="C42" s="44" t="s">
        <v>1062</v>
      </c>
      <c r="D42" s="45">
        <f>SUM(D43:D46)</f>
        <v>0</v>
      </c>
      <c r="E42" s="45">
        <f>SUM(E43:E46)</f>
        <v>0</v>
      </c>
      <c r="F42" s="46">
        <f t="shared" si="0"/>
        <v>0</v>
      </c>
      <c r="H42" s="41" t="s">
        <v>75</v>
      </c>
      <c r="I42" s="58" t="s">
        <v>79</v>
      </c>
      <c r="J42" s="39"/>
      <c r="K42" s="39"/>
      <c r="L42" s="41" t="s">
        <v>98</v>
      </c>
      <c r="M42" s="40">
        <v>0</v>
      </c>
      <c r="N42" s="41" t="s">
        <v>99</v>
      </c>
      <c r="O42" s="40">
        <v>0</v>
      </c>
      <c r="P42" s="60"/>
    </row>
    <row r="43" spans="2:24" s="1" customFormat="1" ht="14.25" customHeight="1" x14ac:dyDescent="0.2">
      <c r="B43" s="55" t="s">
        <v>100</v>
      </c>
      <c r="C43" s="65" t="s">
        <v>1058</v>
      </c>
      <c r="D43" s="50"/>
      <c r="E43" s="50"/>
      <c r="F43" s="46">
        <f t="shared" si="0"/>
        <v>0</v>
      </c>
      <c r="H43" s="53" t="s">
        <v>75</v>
      </c>
      <c r="I43" s="62" t="s">
        <v>79</v>
      </c>
      <c r="L43" s="53" t="s">
        <v>101</v>
      </c>
      <c r="M43" s="2">
        <v>0</v>
      </c>
      <c r="N43" s="53" t="s">
        <v>102</v>
      </c>
      <c r="O43" s="2">
        <v>0</v>
      </c>
      <c r="P43" s="2"/>
    </row>
    <row r="44" spans="2:24" s="1" customFormat="1" ht="14.25" customHeight="1" x14ac:dyDescent="0.2">
      <c r="B44" s="55" t="s">
        <v>103</v>
      </c>
      <c r="C44" s="65" t="s">
        <v>1059</v>
      </c>
      <c r="D44" s="50"/>
      <c r="E44" s="50"/>
      <c r="F44" s="46">
        <f t="shared" si="0"/>
        <v>0</v>
      </c>
      <c r="H44" s="53" t="s">
        <v>75</v>
      </c>
      <c r="I44" s="62" t="s">
        <v>79</v>
      </c>
      <c r="L44" s="53" t="s">
        <v>104</v>
      </c>
      <c r="M44" s="2">
        <v>0</v>
      </c>
      <c r="N44" s="53" t="s">
        <v>105</v>
      </c>
      <c r="O44" s="2">
        <v>0</v>
      </c>
      <c r="P44" s="2"/>
    </row>
    <row r="45" spans="2:24" ht="14.25" customHeight="1" x14ac:dyDescent="0.2">
      <c r="B45" s="48" t="s">
        <v>106</v>
      </c>
      <c r="C45" s="49" t="s">
        <v>1060</v>
      </c>
      <c r="D45" s="51"/>
      <c r="E45" s="51"/>
      <c r="F45" s="46">
        <f t="shared" si="0"/>
        <v>0</v>
      </c>
      <c r="H45" s="53" t="s">
        <v>75</v>
      </c>
      <c r="I45" s="62" t="s">
        <v>79</v>
      </c>
      <c r="L45" s="53" t="s">
        <v>107</v>
      </c>
      <c r="M45" s="2">
        <v>0</v>
      </c>
      <c r="N45" s="53" t="s">
        <v>108</v>
      </c>
      <c r="O45" s="2">
        <v>0</v>
      </c>
      <c r="P45" s="60"/>
    </row>
    <row r="46" spans="2:24" s="1" customFormat="1" ht="14.25" customHeight="1" x14ac:dyDescent="0.2">
      <c r="B46" s="55" t="s">
        <v>109</v>
      </c>
      <c r="C46" s="65" t="s">
        <v>1061</v>
      </c>
      <c r="D46" s="50"/>
      <c r="E46" s="50"/>
      <c r="F46" s="46">
        <f t="shared" si="0"/>
        <v>0</v>
      </c>
      <c r="H46" s="53" t="s">
        <v>75</v>
      </c>
      <c r="I46" s="62" t="s">
        <v>79</v>
      </c>
      <c r="L46" s="53" t="s">
        <v>110</v>
      </c>
      <c r="M46" s="2">
        <v>0</v>
      </c>
      <c r="N46" s="53" t="s">
        <v>111</v>
      </c>
      <c r="O46" s="2">
        <v>0</v>
      </c>
      <c r="P46" s="2"/>
    </row>
    <row r="47" spans="2:24" s="39" customFormat="1" ht="14.25" customHeight="1" x14ac:dyDescent="0.2">
      <c r="B47" s="43" t="s">
        <v>112</v>
      </c>
      <c r="C47" s="64" t="s">
        <v>113</v>
      </c>
      <c r="D47" s="45">
        <f>D48+D53</f>
        <v>0</v>
      </c>
      <c r="E47" s="45">
        <f>E48+E53</f>
        <v>66350000</v>
      </c>
      <c r="F47" s="46">
        <f t="shared" si="0"/>
        <v>66350000</v>
      </c>
      <c r="H47" s="41" t="s">
        <v>75</v>
      </c>
      <c r="I47" s="58" t="s">
        <v>113</v>
      </c>
      <c r="L47" s="41" t="s">
        <v>114</v>
      </c>
      <c r="M47" s="40">
        <v>0</v>
      </c>
      <c r="N47" s="41" t="s">
        <v>115</v>
      </c>
      <c r="O47" s="40">
        <v>0</v>
      </c>
      <c r="P47" s="40"/>
    </row>
    <row r="48" spans="2:24" s="39" customFormat="1" ht="14.25" customHeight="1" x14ac:dyDescent="0.2">
      <c r="B48" s="43" t="s">
        <v>116</v>
      </c>
      <c r="C48" s="64" t="s">
        <v>578</v>
      </c>
      <c r="D48" s="45">
        <f>SUM(D49:D52)</f>
        <v>0</v>
      </c>
      <c r="E48" s="45">
        <f>SUM(E49:E52)</f>
        <v>0</v>
      </c>
      <c r="F48" s="46">
        <f t="shared" si="0"/>
        <v>0</v>
      </c>
      <c r="H48" s="41" t="s">
        <v>75</v>
      </c>
      <c r="I48" s="58" t="s">
        <v>113</v>
      </c>
      <c r="L48" s="41" t="s">
        <v>117</v>
      </c>
      <c r="M48" s="40">
        <v>0</v>
      </c>
      <c r="N48" s="41" t="s">
        <v>118</v>
      </c>
      <c r="O48" s="40">
        <v>0</v>
      </c>
      <c r="P48" s="40"/>
    </row>
    <row r="49" spans="2:20" s="1" customFormat="1" ht="14.25" customHeight="1" x14ac:dyDescent="0.2">
      <c r="B49" s="55" t="s">
        <v>119</v>
      </c>
      <c r="C49" s="65" t="s">
        <v>1058</v>
      </c>
      <c r="D49" s="50"/>
      <c r="E49" s="50"/>
      <c r="F49" s="46">
        <f t="shared" si="0"/>
        <v>0</v>
      </c>
      <c r="H49" s="53" t="s">
        <v>75</v>
      </c>
      <c r="I49" s="62" t="s">
        <v>113</v>
      </c>
      <c r="L49" s="53" t="s">
        <v>120</v>
      </c>
      <c r="M49" s="2">
        <v>0</v>
      </c>
      <c r="N49" s="53" t="s">
        <v>121</v>
      </c>
      <c r="O49" s="2">
        <v>0</v>
      </c>
      <c r="P49" s="2"/>
    </row>
    <row r="50" spans="2:20" s="1" customFormat="1" ht="14.25" customHeight="1" x14ac:dyDescent="0.2">
      <c r="B50" s="55" t="s">
        <v>122</v>
      </c>
      <c r="C50" s="65" t="s">
        <v>1059</v>
      </c>
      <c r="D50" s="50"/>
      <c r="E50" s="50"/>
      <c r="F50" s="46">
        <f t="shared" si="0"/>
        <v>0</v>
      </c>
      <c r="H50" s="53" t="s">
        <v>75</v>
      </c>
      <c r="I50" s="62" t="s">
        <v>113</v>
      </c>
      <c r="L50" s="53" t="s">
        <v>123</v>
      </c>
      <c r="M50" s="2">
        <v>0</v>
      </c>
      <c r="N50" s="53" t="s">
        <v>124</v>
      </c>
      <c r="O50" s="2">
        <v>0</v>
      </c>
      <c r="P50" s="2"/>
    </row>
    <row r="51" spans="2:20" s="1" customFormat="1" ht="14.25" customHeight="1" x14ac:dyDescent="0.2">
      <c r="B51" s="55" t="s">
        <v>125</v>
      </c>
      <c r="C51" s="65" t="s">
        <v>1060</v>
      </c>
      <c r="D51" s="50"/>
      <c r="E51" s="50"/>
      <c r="F51" s="46">
        <f t="shared" si="0"/>
        <v>0</v>
      </c>
      <c r="H51" s="53" t="s">
        <v>75</v>
      </c>
      <c r="I51" s="62" t="s">
        <v>113</v>
      </c>
      <c r="L51" s="53" t="s">
        <v>126</v>
      </c>
      <c r="M51" s="2">
        <v>0</v>
      </c>
      <c r="N51" s="53" t="s">
        <v>127</v>
      </c>
      <c r="O51" s="2">
        <v>0</v>
      </c>
      <c r="P51" s="2"/>
    </row>
    <row r="52" spans="2:20" s="1" customFormat="1" ht="14.25" customHeight="1" x14ac:dyDescent="0.2">
      <c r="B52" s="55" t="s">
        <v>128</v>
      </c>
      <c r="C52" s="65" t="s">
        <v>1061</v>
      </c>
      <c r="D52" s="50"/>
      <c r="E52" s="50"/>
      <c r="F52" s="46">
        <f t="shared" si="0"/>
        <v>0</v>
      </c>
      <c r="H52" s="53" t="s">
        <v>75</v>
      </c>
      <c r="I52" s="62" t="s">
        <v>113</v>
      </c>
      <c r="L52" s="53" t="s">
        <v>129</v>
      </c>
      <c r="M52" s="2">
        <v>0</v>
      </c>
      <c r="N52" s="53" t="s">
        <v>130</v>
      </c>
      <c r="O52" s="2">
        <v>0</v>
      </c>
      <c r="P52" s="2"/>
    </row>
    <row r="53" spans="2:20" s="39" customFormat="1" ht="14.25" customHeight="1" x14ac:dyDescent="0.2">
      <c r="B53" s="43" t="s">
        <v>131</v>
      </c>
      <c r="C53" s="64" t="s">
        <v>1062</v>
      </c>
      <c r="D53" s="45">
        <f>SUM(D54:D57)</f>
        <v>0</v>
      </c>
      <c r="E53" s="45">
        <f>SUM(E54:E57)</f>
        <v>66350000</v>
      </c>
      <c r="F53" s="46">
        <f t="shared" si="0"/>
        <v>66350000</v>
      </c>
      <c r="H53" s="41" t="s">
        <v>75</v>
      </c>
      <c r="I53" s="58" t="s">
        <v>113</v>
      </c>
      <c r="L53" s="41" t="s">
        <v>132</v>
      </c>
      <c r="M53" s="40">
        <v>0</v>
      </c>
      <c r="N53" s="41" t="s">
        <v>133</v>
      </c>
      <c r="O53" s="40">
        <v>0</v>
      </c>
      <c r="P53" s="40"/>
    </row>
    <row r="54" spans="2:20" s="1" customFormat="1" ht="14.25" customHeight="1" x14ac:dyDescent="0.2">
      <c r="B54" s="55" t="s">
        <v>134</v>
      </c>
      <c r="C54" s="65" t="s">
        <v>1058</v>
      </c>
      <c r="D54" s="50"/>
      <c r="E54" s="51"/>
      <c r="F54" s="52">
        <f t="shared" si="0"/>
        <v>0</v>
      </c>
      <c r="H54" s="53" t="s">
        <v>75</v>
      </c>
      <c r="I54" s="62" t="s">
        <v>113</v>
      </c>
      <c r="L54" s="53" t="s">
        <v>135</v>
      </c>
      <c r="M54" s="2">
        <v>0</v>
      </c>
      <c r="N54" s="53" t="s">
        <v>136</v>
      </c>
      <c r="O54" s="2">
        <v>0</v>
      </c>
      <c r="P54" s="2"/>
    </row>
    <row r="55" spans="2:20" s="1" customFormat="1" ht="14.25" customHeight="1" x14ac:dyDescent="0.2">
      <c r="B55" s="55" t="s">
        <v>137</v>
      </c>
      <c r="C55" s="65" t="s">
        <v>1059</v>
      </c>
      <c r="D55" s="50"/>
      <c r="E55" s="51"/>
      <c r="F55" s="52">
        <f t="shared" si="0"/>
        <v>0</v>
      </c>
      <c r="H55" s="53" t="s">
        <v>75</v>
      </c>
      <c r="I55" s="62" t="s">
        <v>113</v>
      </c>
      <c r="L55" s="53" t="s">
        <v>138</v>
      </c>
      <c r="M55" s="2">
        <v>0</v>
      </c>
      <c r="N55" s="53" t="s">
        <v>139</v>
      </c>
      <c r="O55" s="2">
        <v>0</v>
      </c>
      <c r="P55" s="2"/>
    </row>
    <row r="56" spans="2:20" s="1" customFormat="1" ht="14.25" customHeight="1" x14ac:dyDescent="0.2">
      <c r="B56" s="55" t="s">
        <v>140</v>
      </c>
      <c r="C56" s="65" t="s">
        <v>1060</v>
      </c>
      <c r="D56" s="50"/>
      <c r="E56" s="51">
        <f>MapaX!G14</f>
        <v>66350000</v>
      </c>
      <c r="F56" s="52">
        <f t="shared" si="0"/>
        <v>66350000</v>
      </c>
      <c r="H56" s="53" t="s">
        <v>75</v>
      </c>
      <c r="I56" s="62" t="s">
        <v>113</v>
      </c>
      <c r="L56" s="53" t="s">
        <v>141</v>
      </c>
      <c r="M56" s="2">
        <v>0</v>
      </c>
      <c r="N56" s="53" t="s">
        <v>142</v>
      </c>
      <c r="O56" s="2">
        <v>0</v>
      </c>
      <c r="P56" s="2"/>
      <c r="S56" s="1">
        <f>+D60/12</f>
        <v>14070739.5</v>
      </c>
    </row>
    <row r="57" spans="2:20" s="1" customFormat="1" ht="14.25" customHeight="1" x14ac:dyDescent="0.2">
      <c r="B57" s="55" t="s">
        <v>143</v>
      </c>
      <c r="C57" s="65" t="s">
        <v>1061</v>
      </c>
      <c r="D57" s="50"/>
      <c r="E57" s="51"/>
      <c r="F57" s="52">
        <f t="shared" si="0"/>
        <v>0</v>
      </c>
      <c r="H57" s="53" t="s">
        <v>75</v>
      </c>
      <c r="I57" s="62" t="s">
        <v>113</v>
      </c>
      <c r="L57" s="53" t="s">
        <v>144</v>
      </c>
      <c r="M57" s="2">
        <v>0</v>
      </c>
      <c r="N57" s="53" t="s">
        <v>145</v>
      </c>
      <c r="O57" s="2">
        <v>0</v>
      </c>
      <c r="P57" s="2"/>
      <c r="S57" s="1">
        <f>+S56*0.15</f>
        <v>2110610.9249999998</v>
      </c>
    </row>
    <row r="58" spans="2:20" s="36" customFormat="1" ht="14.25" customHeight="1" x14ac:dyDescent="0.2">
      <c r="B58" s="43" t="s">
        <v>146</v>
      </c>
      <c r="C58" s="44" t="s">
        <v>147</v>
      </c>
      <c r="D58" s="45">
        <f>D59+D62</f>
        <v>209903387</v>
      </c>
      <c r="E58" s="57">
        <f>E59+E62</f>
        <v>114400000</v>
      </c>
      <c r="F58" s="46">
        <f t="shared" si="0"/>
        <v>324303387</v>
      </c>
      <c r="H58" s="41" t="s">
        <v>75</v>
      </c>
      <c r="I58" s="58" t="s">
        <v>147</v>
      </c>
      <c r="J58" s="59"/>
      <c r="K58" s="39"/>
      <c r="L58" s="41" t="s">
        <v>148</v>
      </c>
      <c r="M58" s="40">
        <v>0</v>
      </c>
      <c r="N58" s="41" t="s">
        <v>149</v>
      </c>
      <c r="O58" s="40">
        <v>0</v>
      </c>
      <c r="P58" s="60"/>
    </row>
    <row r="59" spans="2:20" s="36" customFormat="1" ht="14.25" customHeight="1" x14ac:dyDescent="0.2">
      <c r="B59" s="43" t="s">
        <v>150</v>
      </c>
      <c r="C59" s="44" t="s">
        <v>578</v>
      </c>
      <c r="D59" s="45">
        <f>SUM(D60:D61)</f>
        <v>209903387</v>
      </c>
      <c r="E59" s="57">
        <f>SUM(E60:E61)</f>
        <v>0</v>
      </c>
      <c r="F59" s="46">
        <f t="shared" si="0"/>
        <v>209903387</v>
      </c>
      <c r="H59" s="41" t="s">
        <v>75</v>
      </c>
      <c r="I59" s="58" t="s">
        <v>147</v>
      </c>
      <c r="J59" s="39"/>
      <c r="K59" s="39"/>
      <c r="L59" s="41" t="s">
        <v>151</v>
      </c>
      <c r="M59" s="40">
        <v>0</v>
      </c>
      <c r="N59" s="41" t="s">
        <v>152</v>
      </c>
      <c r="O59" s="40">
        <v>0</v>
      </c>
      <c r="P59" s="60"/>
    </row>
    <row r="60" spans="2:20" ht="14.25" customHeight="1" x14ac:dyDescent="0.25">
      <c r="B60" s="55" t="s">
        <v>153</v>
      </c>
      <c r="C60" s="56" t="s">
        <v>1063</v>
      </c>
      <c r="D60" s="50">
        <v>168848874</v>
      </c>
      <c r="E60" s="51"/>
      <c r="F60" s="52">
        <f t="shared" si="0"/>
        <v>168848874</v>
      </c>
      <c r="H60" s="53" t="s">
        <v>75</v>
      </c>
      <c r="I60" s="62" t="s">
        <v>147</v>
      </c>
      <c r="L60" s="53" t="s">
        <v>154</v>
      </c>
      <c r="M60" s="2">
        <v>0</v>
      </c>
      <c r="N60" s="53" t="s">
        <v>155</v>
      </c>
      <c r="O60" s="2">
        <v>0</v>
      </c>
      <c r="P60" s="69">
        <f>+D60-12935426*12</f>
        <v>13623762</v>
      </c>
    </row>
    <row r="61" spans="2:20" s="1" customFormat="1" ht="14.25" customHeight="1" x14ac:dyDescent="0.2">
      <c r="B61" s="55" t="s">
        <v>156</v>
      </c>
      <c r="C61" s="65" t="s">
        <v>1064</v>
      </c>
      <c r="D61" s="50">
        <f>+SUM('anexo planofinanceiro'!B64:B65)</f>
        <v>41054513</v>
      </c>
      <c r="E61" s="51"/>
      <c r="F61" s="52">
        <f t="shared" si="0"/>
        <v>41054513</v>
      </c>
      <c r="H61" s="53" t="s">
        <v>75</v>
      </c>
      <c r="I61" s="62" t="s">
        <v>147</v>
      </c>
      <c r="L61" s="53" t="s">
        <v>157</v>
      </c>
      <c r="M61" s="2">
        <v>0</v>
      </c>
      <c r="N61" s="53" t="s">
        <v>158</v>
      </c>
      <c r="O61" s="2">
        <v>0</v>
      </c>
      <c r="P61" s="2">
        <f>+P60/12</f>
        <v>1135313.5</v>
      </c>
      <c r="Q61" s="31"/>
      <c r="T61" s="1">
        <f>23230916/12</f>
        <v>1935909.6666666667</v>
      </c>
    </row>
    <row r="62" spans="2:20" s="36" customFormat="1" ht="14.25" customHeight="1" x14ac:dyDescent="0.2">
      <c r="B62" s="43" t="s">
        <v>159</v>
      </c>
      <c r="C62" s="44" t="s">
        <v>1062</v>
      </c>
      <c r="D62" s="45">
        <f>SUM(D63:D64)</f>
        <v>0</v>
      </c>
      <c r="E62" s="57">
        <f>SUM(E63:E64)</f>
        <v>114400000</v>
      </c>
      <c r="F62" s="46">
        <f t="shared" si="0"/>
        <v>114400000</v>
      </c>
      <c r="H62" s="41" t="s">
        <v>75</v>
      </c>
      <c r="I62" s="58" t="s">
        <v>147</v>
      </c>
      <c r="J62" s="39"/>
      <c r="K62" s="39"/>
      <c r="L62" s="41" t="s">
        <v>160</v>
      </c>
      <c r="M62" s="40">
        <v>0</v>
      </c>
      <c r="N62" s="41" t="s">
        <v>161</v>
      </c>
      <c r="O62" s="40">
        <v>0</v>
      </c>
      <c r="P62" s="70">
        <f>+D60-10000000</f>
        <v>158848874</v>
      </c>
    </row>
    <row r="63" spans="2:20" ht="14.25" customHeight="1" x14ac:dyDescent="0.25">
      <c r="B63" s="55" t="s">
        <v>162</v>
      </c>
      <c r="C63" s="56" t="s">
        <v>1063</v>
      </c>
      <c r="D63" s="50">
        <v>0</v>
      </c>
      <c r="E63" s="51">
        <f>MapaX!F14</f>
        <v>114400000</v>
      </c>
      <c r="F63" s="52">
        <f t="shared" si="0"/>
        <v>114400000</v>
      </c>
      <c r="H63" s="53" t="s">
        <v>75</v>
      </c>
      <c r="I63" s="62" t="s">
        <v>147</v>
      </c>
      <c r="L63" s="53" t="s">
        <v>163</v>
      </c>
      <c r="M63" s="2">
        <v>0</v>
      </c>
      <c r="N63" s="53" t="s">
        <v>164</v>
      </c>
      <c r="O63" s="2">
        <v>0</v>
      </c>
      <c r="P63" s="71">
        <v>694445</v>
      </c>
    </row>
    <row r="64" spans="2:20" ht="14.25" customHeight="1" x14ac:dyDescent="0.25">
      <c r="B64" s="55" t="s">
        <v>165</v>
      </c>
      <c r="C64" s="56" t="s">
        <v>1064</v>
      </c>
      <c r="D64" s="50"/>
      <c r="E64" s="50"/>
      <c r="F64" s="52">
        <f t="shared" si="0"/>
        <v>0</v>
      </c>
      <c r="H64" s="53" t="s">
        <v>75</v>
      </c>
      <c r="I64" s="62" t="s">
        <v>147</v>
      </c>
      <c r="L64" s="53" t="s">
        <v>166</v>
      </c>
      <c r="M64" s="2">
        <v>0</v>
      </c>
      <c r="N64" s="53" t="s">
        <v>167</v>
      </c>
      <c r="O64" s="2">
        <v>0</v>
      </c>
      <c r="P64" s="69">
        <f>+P63*12</f>
        <v>8333340</v>
      </c>
    </row>
    <row r="65" spans="2:24" s="42" customFormat="1" ht="14.25" customHeight="1" x14ac:dyDescent="0.2">
      <c r="B65" s="33" t="s">
        <v>168</v>
      </c>
      <c r="C65" s="34" t="s">
        <v>169</v>
      </c>
      <c r="D65" s="35">
        <f>D66+D80+D83+D114+D116+D118+D120+D125+D128</f>
        <v>38498775</v>
      </c>
      <c r="E65" s="35">
        <f>E66+E80+E120+E125+E128</f>
        <v>0</v>
      </c>
      <c r="F65" s="35">
        <f t="shared" si="0"/>
        <v>38498775</v>
      </c>
      <c r="G65" s="36"/>
      <c r="H65" s="41" t="s">
        <v>169</v>
      </c>
      <c r="I65" s="58"/>
      <c r="J65" s="39"/>
      <c r="K65" s="39"/>
      <c r="L65" s="41" t="s">
        <v>170</v>
      </c>
      <c r="M65" s="40">
        <v>0</v>
      </c>
      <c r="N65" s="41" t="s">
        <v>171</v>
      </c>
      <c r="O65" s="40">
        <v>0</v>
      </c>
      <c r="P65" s="60"/>
      <c r="Q65" s="36"/>
      <c r="R65" s="36"/>
      <c r="S65" s="36"/>
      <c r="T65" s="36"/>
      <c r="U65" s="36"/>
      <c r="V65" s="36"/>
      <c r="W65" s="36"/>
      <c r="X65" s="36"/>
    </row>
    <row r="66" spans="2:24" s="36" customFormat="1" ht="14.25" customHeight="1" x14ac:dyDescent="0.2">
      <c r="B66" s="43" t="s">
        <v>172</v>
      </c>
      <c r="C66" s="44" t="s">
        <v>173</v>
      </c>
      <c r="D66" s="45">
        <f>SUM(D67:D71)</f>
        <v>3500000</v>
      </c>
      <c r="E66" s="45">
        <f>SUM(E67:E71)</f>
        <v>0</v>
      </c>
      <c r="F66" s="46">
        <f t="shared" si="0"/>
        <v>3500000</v>
      </c>
      <c r="H66" s="41" t="s">
        <v>169</v>
      </c>
      <c r="I66" s="58" t="s">
        <v>173</v>
      </c>
      <c r="J66" s="39"/>
      <c r="K66" s="39"/>
      <c r="L66" s="41" t="s">
        <v>174</v>
      </c>
      <c r="M66" s="40">
        <v>0</v>
      </c>
      <c r="N66" s="41" t="s">
        <v>175</v>
      </c>
      <c r="O66" s="40">
        <v>0</v>
      </c>
      <c r="P66" s="60"/>
      <c r="S66" s="36">
        <f>+D60/12</f>
        <v>14070739.5</v>
      </c>
      <c r="T66" s="36">
        <f>123594192/12</f>
        <v>10299516</v>
      </c>
    </row>
    <row r="67" spans="2:24" ht="14.25" customHeight="1" x14ac:dyDescent="0.2">
      <c r="B67" s="55" t="s">
        <v>176</v>
      </c>
      <c r="C67" s="56" t="s">
        <v>1065</v>
      </c>
      <c r="D67" s="50"/>
      <c r="E67" s="50"/>
      <c r="F67" s="52">
        <f t="shared" si="0"/>
        <v>0</v>
      </c>
      <c r="H67" s="53" t="s">
        <v>169</v>
      </c>
      <c r="I67" s="62" t="s">
        <v>173</v>
      </c>
      <c r="L67" s="53" t="s">
        <v>177</v>
      </c>
      <c r="M67" s="2">
        <v>0</v>
      </c>
      <c r="N67" s="53" t="s">
        <v>178</v>
      </c>
      <c r="O67" s="2">
        <v>0</v>
      </c>
      <c r="P67" s="60"/>
    </row>
    <row r="68" spans="2:24" s="1" customFormat="1" ht="14.25" customHeight="1" x14ac:dyDescent="0.2">
      <c r="B68" s="55" t="s">
        <v>179</v>
      </c>
      <c r="C68" s="65" t="s">
        <v>1066</v>
      </c>
      <c r="D68" s="50"/>
      <c r="E68" s="50"/>
      <c r="F68" s="52">
        <f t="shared" si="0"/>
        <v>0</v>
      </c>
      <c r="H68" s="53" t="s">
        <v>169</v>
      </c>
      <c r="I68" s="62" t="s">
        <v>173</v>
      </c>
      <c r="L68" s="53" t="s">
        <v>180</v>
      </c>
      <c r="M68" s="2">
        <v>0</v>
      </c>
      <c r="N68" s="53" t="s">
        <v>181</v>
      </c>
      <c r="O68" s="2">
        <v>0</v>
      </c>
      <c r="P68" s="2"/>
      <c r="S68" s="1">
        <f>17000000/12</f>
        <v>1416666.6666666667</v>
      </c>
    </row>
    <row r="69" spans="2:24" s="1" customFormat="1" ht="14.25" customHeight="1" x14ac:dyDescent="0.2">
      <c r="B69" s="55" t="s">
        <v>182</v>
      </c>
      <c r="C69" s="65" t="s">
        <v>1067</v>
      </c>
      <c r="D69" s="50"/>
      <c r="E69" s="50"/>
      <c r="F69" s="52">
        <f t="shared" si="0"/>
        <v>0</v>
      </c>
      <c r="H69" s="53" t="s">
        <v>169</v>
      </c>
      <c r="I69" s="62" t="s">
        <v>173</v>
      </c>
      <c r="L69" s="53" t="s">
        <v>183</v>
      </c>
      <c r="M69" s="2">
        <v>0</v>
      </c>
      <c r="N69" s="53" t="s">
        <v>184</v>
      </c>
      <c r="O69" s="2">
        <v>0</v>
      </c>
      <c r="P69" s="2"/>
    </row>
    <row r="70" spans="2:24" s="1" customFormat="1" ht="14.25" customHeight="1" x14ac:dyDescent="0.2">
      <c r="B70" s="55" t="s">
        <v>185</v>
      </c>
      <c r="C70" s="65" t="s">
        <v>1068</v>
      </c>
      <c r="D70" s="50"/>
      <c r="E70" s="50"/>
      <c r="F70" s="52">
        <f t="shared" si="0"/>
        <v>0</v>
      </c>
      <c r="H70" s="53" t="s">
        <v>169</v>
      </c>
      <c r="I70" s="62" t="s">
        <v>173</v>
      </c>
      <c r="L70" s="53" t="s">
        <v>186</v>
      </c>
      <c r="M70" s="2">
        <v>0</v>
      </c>
      <c r="N70" s="53" t="s">
        <v>187</v>
      </c>
      <c r="O70" s="2">
        <v>0</v>
      </c>
      <c r="P70" s="2"/>
    </row>
    <row r="71" spans="2:24" s="36" customFormat="1" ht="14.25" customHeight="1" x14ac:dyDescent="0.2">
      <c r="B71" s="43" t="s">
        <v>188</v>
      </c>
      <c r="C71" s="44" t="s">
        <v>1069</v>
      </c>
      <c r="D71" s="45">
        <f>SUM(D72:D79)</f>
        <v>3500000</v>
      </c>
      <c r="E71" s="45">
        <f>SUM(E72:E79)</f>
        <v>0</v>
      </c>
      <c r="F71" s="46">
        <f t="shared" si="0"/>
        <v>3500000</v>
      </c>
      <c r="H71" s="41" t="s">
        <v>169</v>
      </c>
      <c r="I71" s="58" t="s">
        <v>173</v>
      </c>
      <c r="J71" s="39"/>
      <c r="K71" s="39"/>
      <c r="L71" s="41" t="s">
        <v>189</v>
      </c>
      <c r="M71" s="40">
        <v>0</v>
      </c>
      <c r="N71" s="41" t="s">
        <v>190</v>
      </c>
      <c r="O71" s="40">
        <v>0</v>
      </c>
      <c r="P71" s="60"/>
      <c r="S71" s="36">
        <f>+S65</f>
        <v>0</v>
      </c>
    </row>
    <row r="72" spans="2:24" s="1" customFormat="1" ht="14.25" customHeight="1" x14ac:dyDescent="0.2">
      <c r="B72" s="55" t="s">
        <v>191</v>
      </c>
      <c r="C72" s="65" t="s">
        <v>1070</v>
      </c>
      <c r="D72" s="50"/>
      <c r="E72" s="50"/>
      <c r="F72" s="52">
        <f t="shared" si="0"/>
        <v>0</v>
      </c>
      <c r="H72" s="53" t="s">
        <v>169</v>
      </c>
      <c r="I72" s="62" t="s">
        <v>173</v>
      </c>
      <c r="L72" s="53" t="s">
        <v>192</v>
      </c>
      <c r="M72" s="2">
        <v>0</v>
      </c>
      <c r="N72" s="53" t="s">
        <v>193</v>
      </c>
      <c r="O72" s="2">
        <v>0</v>
      </c>
      <c r="P72" s="2"/>
    </row>
    <row r="73" spans="2:24" s="1" customFormat="1" ht="14.25" customHeight="1" x14ac:dyDescent="0.2">
      <c r="B73" s="55" t="s">
        <v>194</v>
      </c>
      <c r="C73" s="65" t="s">
        <v>1071</v>
      </c>
      <c r="D73" s="50"/>
      <c r="E73" s="50"/>
      <c r="F73" s="52">
        <f t="shared" si="0"/>
        <v>0</v>
      </c>
      <c r="H73" s="53" t="s">
        <v>169</v>
      </c>
      <c r="I73" s="62" t="s">
        <v>173</v>
      </c>
      <c r="L73" s="53" t="s">
        <v>195</v>
      </c>
      <c r="M73" s="2">
        <v>0</v>
      </c>
      <c r="N73" s="53" t="s">
        <v>196</v>
      </c>
      <c r="O73" s="2">
        <v>0</v>
      </c>
      <c r="P73" s="2"/>
      <c r="S73" s="1">
        <f>+S66+S68</f>
        <v>15487406.166666666</v>
      </c>
      <c r="T73" s="1">
        <f>+S73*12</f>
        <v>185848874</v>
      </c>
    </row>
    <row r="74" spans="2:24" s="1" customFormat="1" ht="14.25" customHeight="1" x14ac:dyDescent="0.2">
      <c r="B74" s="55" t="s">
        <v>197</v>
      </c>
      <c r="C74" s="65" t="s">
        <v>1072</v>
      </c>
      <c r="D74" s="50"/>
      <c r="E74" s="50"/>
      <c r="F74" s="52">
        <f t="shared" si="0"/>
        <v>0</v>
      </c>
      <c r="H74" s="53" t="s">
        <v>169</v>
      </c>
      <c r="I74" s="62" t="s">
        <v>173</v>
      </c>
      <c r="L74" s="53" t="s">
        <v>198</v>
      </c>
      <c r="M74" s="2">
        <v>0</v>
      </c>
      <c r="N74" s="53" t="s">
        <v>199</v>
      </c>
      <c r="O74" s="2">
        <v>0</v>
      </c>
      <c r="P74" s="2"/>
    </row>
    <row r="75" spans="2:24" ht="14.25" customHeight="1" x14ac:dyDescent="0.2">
      <c r="B75" s="55" t="s">
        <v>200</v>
      </c>
      <c r="C75" s="56" t="s">
        <v>1073</v>
      </c>
      <c r="D75" s="50"/>
      <c r="E75" s="50"/>
      <c r="F75" s="52">
        <f t="shared" si="0"/>
        <v>0</v>
      </c>
      <c r="H75" s="53" t="s">
        <v>169</v>
      </c>
      <c r="I75" s="62" t="s">
        <v>173</v>
      </c>
      <c r="L75" s="53" t="s">
        <v>201</v>
      </c>
      <c r="M75" s="2">
        <v>0</v>
      </c>
      <c r="N75" s="53" t="s">
        <v>202</v>
      </c>
      <c r="O75" s="2">
        <v>0</v>
      </c>
      <c r="P75" s="60"/>
    </row>
    <row r="76" spans="2:24" ht="14.25" customHeight="1" x14ac:dyDescent="0.2">
      <c r="B76" s="55" t="s">
        <v>203</v>
      </c>
      <c r="C76" s="56" t="s">
        <v>1074</v>
      </c>
      <c r="D76" s="50"/>
      <c r="E76" s="50"/>
      <c r="F76" s="52">
        <f t="shared" si="0"/>
        <v>0</v>
      </c>
      <c r="H76" s="53" t="s">
        <v>169</v>
      </c>
      <c r="I76" s="62" t="s">
        <v>173</v>
      </c>
      <c r="L76" s="53" t="s">
        <v>204</v>
      </c>
      <c r="M76" s="2">
        <v>0</v>
      </c>
      <c r="N76" s="53" t="s">
        <v>205</v>
      </c>
      <c r="O76" s="2">
        <v>0</v>
      </c>
      <c r="P76" s="60"/>
    </row>
    <row r="77" spans="2:24" ht="14.25" customHeight="1" x14ac:dyDescent="0.2">
      <c r="B77" s="55" t="s">
        <v>206</v>
      </c>
      <c r="C77" s="56" t="s">
        <v>1075</v>
      </c>
      <c r="D77" s="50">
        <v>2000000</v>
      </c>
      <c r="E77" s="50"/>
      <c r="F77" s="52">
        <f t="shared" si="0"/>
        <v>2000000</v>
      </c>
      <c r="H77" s="53" t="s">
        <v>169</v>
      </c>
      <c r="I77" s="62" t="s">
        <v>173</v>
      </c>
      <c r="L77" s="53" t="s">
        <v>207</v>
      </c>
      <c r="M77" s="2">
        <v>0</v>
      </c>
      <c r="N77" s="53" t="s">
        <v>208</v>
      </c>
      <c r="O77" s="2">
        <v>0</v>
      </c>
      <c r="P77" s="60"/>
    </row>
    <row r="78" spans="2:24" ht="14.25" customHeight="1" x14ac:dyDescent="0.2">
      <c r="B78" s="55" t="s">
        <v>209</v>
      </c>
      <c r="C78" s="56" t="s">
        <v>1076</v>
      </c>
      <c r="D78" s="50">
        <v>1500000</v>
      </c>
      <c r="E78" s="50"/>
      <c r="F78" s="52">
        <f t="shared" si="0"/>
        <v>1500000</v>
      </c>
      <c r="H78" s="53" t="s">
        <v>169</v>
      </c>
      <c r="I78" s="62" t="s">
        <v>173</v>
      </c>
      <c r="L78" s="53" t="s">
        <v>210</v>
      </c>
      <c r="M78" s="2">
        <v>0</v>
      </c>
      <c r="N78" s="53" t="s">
        <v>211</v>
      </c>
      <c r="O78" s="2">
        <v>0</v>
      </c>
      <c r="P78" s="60"/>
    </row>
    <row r="79" spans="2:24" s="1" customFormat="1" ht="14.25" customHeight="1" x14ac:dyDescent="0.2">
      <c r="B79" s="55" t="s">
        <v>212</v>
      </c>
      <c r="C79" s="65" t="s">
        <v>1077</v>
      </c>
      <c r="D79" s="50"/>
      <c r="E79" s="50"/>
      <c r="F79" s="52">
        <f t="shared" si="0"/>
        <v>0</v>
      </c>
      <c r="H79" s="53" t="s">
        <v>169</v>
      </c>
      <c r="I79" s="62" t="s">
        <v>173</v>
      </c>
      <c r="L79" s="53" t="s">
        <v>213</v>
      </c>
      <c r="M79" s="2">
        <v>0</v>
      </c>
      <c r="N79" s="53" t="s">
        <v>214</v>
      </c>
      <c r="O79" s="2">
        <v>0</v>
      </c>
      <c r="P79" s="2"/>
    </row>
    <row r="80" spans="2:24" s="36" customFormat="1" ht="14.25" customHeight="1" x14ac:dyDescent="0.2">
      <c r="B80" s="43" t="s">
        <v>215</v>
      </c>
      <c r="C80" s="44" t="s">
        <v>216</v>
      </c>
      <c r="D80" s="45">
        <f>D81</f>
        <v>800000</v>
      </c>
      <c r="E80" s="45">
        <f>E81+E83+E118</f>
        <v>0</v>
      </c>
      <c r="F80" s="46">
        <f>D80+E80</f>
        <v>800000</v>
      </c>
      <c r="H80" s="41" t="s">
        <v>169</v>
      </c>
      <c r="I80" s="58" t="s">
        <v>216</v>
      </c>
      <c r="J80" s="39"/>
      <c r="K80" s="39"/>
      <c r="L80" s="41" t="s">
        <v>217</v>
      </c>
      <c r="M80" s="40">
        <v>0</v>
      </c>
      <c r="N80" s="41" t="s">
        <v>218</v>
      </c>
      <c r="O80" s="40">
        <v>0</v>
      </c>
      <c r="P80" s="60"/>
    </row>
    <row r="81" spans="2:18" s="36" customFormat="1" ht="14.25" customHeight="1" x14ac:dyDescent="0.2">
      <c r="B81" s="43" t="s">
        <v>219</v>
      </c>
      <c r="C81" s="44" t="s">
        <v>1078</v>
      </c>
      <c r="D81" s="45">
        <f>SUM(D82:D82)</f>
        <v>800000</v>
      </c>
      <c r="E81" s="45">
        <f>SUM(E82:E82)</f>
        <v>0</v>
      </c>
      <c r="F81" s="46">
        <f>D81+E81</f>
        <v>800000</v>
      </c>
      <c r="H81" s="41" t="s">
        <v>169</v>
      </c>
      <c r="I81" s="58" t="s">
        <v>216</v>
      </c>
      <c r="J81" s="39"/>
      <c r="K81" s="39"/>
      <c r="L81" s="41" t="s">
        <v>220</v>
      </c>
      <c r="M81" s="40">
        <v>0</v>
      </c>
      <c r="N81" s="41" t="s">
        <v>221</v>
      </c>
      <c r="O81" s="40">
        <v>0</v>
      </c>
      <c r="P81" s="60"/>
    </row>
    <row r="82" spans="2:18" ht="14.25" customHeight="1" x14ac:dyDescent="0.2">
      <c r="B82" s="55" t="s">
        <v>222</v>
      </c>
      <c r="C82" s="56" t="s">
        <v>1079</v>
      </c>
      <c r="D82" s="50">
        <v>800000</v>
      </c>
      <c r="E82" s="50"/>
      <c r="F82" s="52">
        <f>D82+E82</f>
        <v>800000</v>
      </c>
      <c r="H82" s="53" t="s">
        <v>169</v>
      </c>
      <c r="I82" s="62" t="s">
        <v>216</v>
      </c>
      <c r="L82" s="53" t="s">
        <v>223</v>
      </c>
      <c r="M82" s="2">
        <v>0</v>
      </c>
      <c r="N82" s="53" t="s">
        <v>224</v>
      </c>
      <c r="O82" s="2">
        <v>0</v>
      </c>
      <c r="P82" s="60"/>
    </row>
    <row r="83" spans="2:18" s="36" customFormat="1" ht="14.25" customHeight="1" x14ac:dyDescent="0.2">
      <c r="B83" s="43" t="s">
        <v>225</v>
      </c>
      <c r="C83" s="44" t="s">
        <v>1080</v>
      </c>
      <c r="D83" s="45">
        <f>D84</f>
        <v>25648775</v>
      </c>
      <c r="E83" s="45">
        <f>SUM(E84:E114)</f>
        <v>0</v>
      </c>
      <c r="F83" s="46">
        <f>D83+E83</f>
        <v>25648775</v>
      </c>
      <c r="H83" s="41" t="s">
        <v>169</v>
      </c>
      <c r="I83" s="58" t="s">
        <v>216</v>
      </c>
      <c r="J83" s="39"/>
      <c r="K83" s="39"/>
      <c r="L83" s="41" t="s">
        <v>226</v>
      </c>
      <c r="M83" s="40">
        <v>0</v>
      </c>
      <c r="N83" s="41" t="s">
        <v>227</v>
      </c>
      <c r="O83" s="40">
        <v>0</v>
      </c>
      <c r="P83" s="60"/>
    </row>
    <row r="84" spans="2:18" s="36" customFormat="1" ht="14.25" customHeight="1" x14ac:dyDescent="0.2">
      <c r="B84" s="43" t="s">
        <v>228</v>
      </c>
      <c r="C84" s="44" t="s">
        <v>1081</v>
      </c>
      <c r="D84" s="45">
        <f>SUM(D85:D113)</f>
        <v>25648775</v>
      </c>
      <c r="E84" s="45"/>
      <c r="F84" s="46">
        <f>D84+E84</f>
        <v>25648775</v>
      </c>
      <c r="H84" s="41" t="s">
        <v>169</v>
      </c>
      <c r="I84" s="58" t="s">
        <v>216</v>
      </c>
      <c r="J84" s="39"/>
      <c r="K84" s="39"/>
      <c r="L84" s="41" t="s">
        <v>229</v>
      </c>
      <c r="M84" s="40">
        <v>0</v>
      </c>
      <c r="N84" s="41" t="s">
        <v>230</v>
      </c>
      <c r="O84" s="40">
        <v>0</v>
      </c>
      <c r="P84" s="60"/>
    </row>
    <row r="85" spans="2:18" s="1" customFormat="1" ht="14.25" customHeight="1" x14ac:dyDescent="0.2">
      <c r="B85" s="55" t="s">
        <v>231</v>
      </c>
      <c r="C85" s="65" t="s">
        <v>1082</v>
      </c>
      <c r="D85" s="50">
        <v>150000</v>
      </c>
      <c r="E85" s="50"/>
      <c r="F85" s="52">
        <f t="shared" ref="F85:F113" si="1">D85+E85</f>
        <v>150000</v>
      </c>
      <c r="H85" s="53" t="s">
        <v>169</v>
      </c>
      <c r="I85" s="62" t="s">
        <v>216</v>
      </c>
      <c r="L85" s="53" t="s">
        <v>232</v>
      </c>
      <c r="M85" s="2">
        <v>0</v>
      </c>
      <c r="N85" s="53" t="s">
        <v>233</v>
      </c>
      <c r="O85" s="2">
        <v>0</v>
      </c>
      <c r="P85" s="2"/>
    </row>
    <row r="86" spans="2:18" ht="14.25" customHeight="1" x14ac:dyDescent="0.2">
      <c r="B86" s="55" t="s">
        <v>234</v>
      </c>
      <c r="C86" s="56" t="s">
        <v>1083</v>
      </c>
      <c r="D86" s="50">
        <v>2500000</v>
      </c>
      <c r="E86" s="50"/>
      <c r="F86" s="52">
        <f t="shared" si="1"/>
        <v>2500000</v>
      </c>
      <c r="H86" s="53" t="s">
        <v>169</v>
      </c>
      <c r="I86" s="62" t="s">
        <v>216</v>
      </c>
      <c r="L86" s="53" t="s">
        <v>235</v>
      </c>
      <c r="M86" s="2">
        <v>0</v>
      </c>
      <c r="N86" s="53" t="s">
        <v>236</v>
      </c>
      <c r="O86" s="2">
        <v>0</v>
      </c>
      <c r="P86" s="60"/>
    </row>
    <row r="87" spans="2:18" ht="19.5" customHeight="1" x14ac:dyDescent="0.2">
      <c r="B87" s="55" t="s">
        <v>237</v>
      </c>
      <c r="C87" s="56" t="s">
        <v>1084</v>
      </c>
      <c r="D87" s="50">
        <v>300000</v>
      </c>
      <c r="E87" s="50"/>
      <c r="F87" s="52">
        <f t="shared" si="1"/>
        <v>300000</v>
      </c>
      <c r="H87" s="53" t="s">
        <v>169</v>
      </c>
      <c r="I87" s="62" t="s">
        <v>216</v>
      </c>
      <c r="L87" s="53" t="s">
        <v>238</v>
      </c>
      <c r="M87" s="2">
        <v>0</v>
      </c>
      <c r="N87" s="53" t="s">
        <v>239</v>
      </c>
      <c r="O87" s="2">
        <v>0</v>
      </c>
      <c r="P87" s="60"/>
    </row>
    <row r="88" spans="2:18" ht="18" customHeight="1" x14ac:dyDescent="0.2">
      <c r="B88" s="55" t="s">
        <v>240</v>
      </c>
      <c r="C88" s="56" t="s">
        <v>1085</v>
      </c>
      <c r="D88" s="50">
        <v>2000000</v>
      </c>
      <c r="E88" s="50"/>
      <c r="F88" s="52">
        <f t="shared" si="1"/>
        <v>2000000</v>
      </c>
      <c r="H88" s="53" t="s">
        <v>169</v>
      </c>
      <c r="I88" s="62" t="s">
        <v>216</v>
      </c>
      <c r="L88" s="53" t="s">
        <v>241</v>
      </c>
      <c r="M88" s="2">
        <v>0</v>
      </c>
      <c r="N88" s="53" t="s">
        <v>242</v>
      </c>
      <c r="O88" s="2">
        <v>0</v>
      </c>
      <c r="P88" s="60"/>
    </row>
    <row r="89" spans="2:18" ht="32.25" customHeight="1" x14ac:dyDescent="0.2">
      <c r="B89" s="55" t="s">
        <v>243</v>
      </c>
      <c r="C89" s="72" t="s">
        <v>1086</v>
      </c>
      <c r="D89" s="73">
        <v>5000000</v>
      </c>
      <c r="E89" s="50"/>
      <c r="F89" s="74">
        <f t="shared" si="1"/>
        <v>5000000</v>
      </c>
      <c r="H89" s="53" t="s">
        <v>169</v>
      </c>
      <c r="I89" s="62" t="s">
        <v>216</v>
      </c>
      <c r="L89" s="53" t="s">
        <v>244</v>
      </c>
      <c r="M89" s="2">
        <v>0</v>
      </c>
      <c r="N89" s="53" t="s">
        <v>245</v>
      </c>
      <c r="O89" s="2">
        <v>0</v>
      </c>
      <c r="P89" s="60"/>
    </row>
    <row r="90" spans="2:18" s="1" customFormat="1" ht="24" customHeight="1" x14ac:dyDescent="0.2">
      <c r="B90" s="55" t="s">
        <v>246</v>
      </c>
      <c r="C90" s="75" t="s">
        <v>1087</v>
      </c>
      <c r="D90" s="76">
        <v>2000000</v>
      </c>
      <c r="E90" s="50"/>
      <c r="F90" s="52">
        <f t="shared" si="1"/>
        <v>2000000</v>
      </c>
      <c r="H90" s="53" t="s">
        <v>169</v>
      </c>
      <c r="I90" s="62" t="s">
        <v>216</v>
      </c>
      <c r="L90" s="53" t="s">
        <v>247</v>
      </c>
      <c r="M90" s="2">
        <v>0</v>
      </c>
      <c r="N90" s="53" t="s">
        <v>248</v>
      </c>
      <c r="O90" s="2">
        <v>0</v>
      </c>
      <c r="P90" s="2"/>
    </row>
    <row r="91" spans="2:18" s="1" customFormat="1" ht="14.25" customHeight="1" x14ac:dyDescent="0.2">
      <c r="B91" s="55" t="s">
        <v>249</v>
      </c>
      <c r="C91" s="65" t="s">
        <v>1088</v>
      </c>
      <c r="D91" s="50">
        <v>500000</v>
      </c>
      <c r="E91" s="50"/>
      <c r="F91" s="52">
        <f t="shared" si="1"/>
        <v>500000</v>
      </c>
      <c r="H91" s="53" t="s">
        <v>169</v>
      </c>
      <c r="I91" s="62" t="s">
        <v>216</v>
      </c>
      <c r="L91" s="53" t="s">
        <v>250</v>
      </c>
      <c r="M91" s="2">
        <v>0</v>
      </c>
      <c r="N91" s="53" t="s">
        <v>251</v>
      </c>
      <c r="O91" s="2">
        <v>0</v>
      </c>
      <c r="P91" s="2"/>
      <c r="R91" s="31"/>
    </row>
    <row r="92" spans="2:18" ht="24" customHeight="1" x14ac:dyDescent="0.2">
      <c r="B92" s="55" t="s">
        <v>252</v>
      </c>
      <c r="C92" s="56" t="s">
        <v>1089</v>
      </c>
      <c r="D92" s="50">
        <v>1000000</v>
      </c>
      <c r="E92" s="50"/>
      <c r="F92" s="52">
        <f t="shared" si="1"/>
        <v>1000000</v>
      </c>
      <c r="H92" s="53" t="s">
        <v>169</v>
      </c>
      <c r="I92" s="62" t="s">
        <v>216</v>
      </c>
      <c r="L92" s="53" t="s">
        <v>253</v>
      </c>
      <c r="M92" s="2">
        <v>0</v>
      </c>
      <c r="N92" s="53" t="s">
        <v>254</v>
      </c>
      <c r="O92" s="2">
        <v>0</v>
      </c>
      <c r="P92" s="60"/>
    </row>
    <row r="93" spans="2:18" s="1" customFormat="1" ht="14.25" customHeight="1" x14ac:dyDescent="0.2">
      <c r="B93" s="55" t="s">
        <v>255</v>
      </c>
      <c r="C93" s="65" t="s">
        <v>1090</v>
      </c>
      <c r="D93" s="50">
        <v>100000</v>
      </c>
      <c r="E93" s="50"/>
      <c r="F93" s="52">
        <f t="shared" si="1"/>
        <v>100000</v>
      </c>
      <c r="H93" s="53" t="s">
        <v>169</v>
      </c>
      <c r="I93" s="62" t="s">
        <v>216</v>
      </c>
      <c r="L93" s="53" t="s">
        <v>256</v>
      </c>
      <c r="M93" s="2">
        <v>0</v>
      </c>
      <c r="N93" s="53" t="s">
        <v>257</v>
      </c>
      <c r="O93" s="2">
        <v>0</v>
      </c>
      <c r="P93" s="2"/>
    </row>
    <row r="94" spans="2:18" s="1" customFormat="1" ht="14.25" customHeight="1" x14ac:dyDescent="0.2">
      <c r="B94" s="55" t="s">
        <v>258</v>
      </c>
      <c r="C94" s="65" t="s">
        <v>259</v>
      </c>
      <c r="D94" s="50">
        <v>500000</v>
      </c>
      <c r="E94" s="50">
        <v>0</v>
      </c>
      <c r="F94" s="52">
        <f t="shared" si="1"/>
        <v>500000</v>
      </c>
      <c r="H94" s="53"/>
      <c r="I94" s="62"/>
      <c r="L94" s="53"/>
      <c r="M94" s="2"/>
      <c r="N94" s="53"/>
      <c r="O94" s="2"/>
      <c r="P94" s="2"/>
    </row>
    <row r="95" spans="2:18" ht="14.25" customHeight="1" x14ac:dyDescent="0.2">
      <c r="B95" s="55" t="s">
        <v>260</v>
      </c>
      <c r="C95" s="56" t="s">
        <v>1091</v>
      </c>
      <c r="D95" s="50">
        <v>300000</v>
      </c>
      <c r="E95" s="50"/>
      <c r="F95" s="52">
        <f t="shared" si="1"/>
        <v>300000</v>
      </c>
      <c r="H95" s="53" t="s">
        <v>169</v>
      </c>
      <c r="I95" s="62" t="s">
        <v>216</v>
      </c>
      <c r="L95" s="53" t="s">
        <v>261</v>
      </c>
      <c r="M95" s="2">
        <v>0</v>
      </c>
      <c r="N95" s="53" t="s">
        <v>262</v>
      </c>
      <c r="O95" s="2">
        <v>0</v>
      </c>
      <c r="P95" s="60"/>
    </row>
    <row r="96" spans="2:18" ht="23.25" customHeight="1" x14ac:dyDescent="0.2">
      <c r="B96" s="55" t="s">
        <v>263</v>
      </c>
      <c r="C96" s="72" t="s">
        <v>1092</v>
      </c>
      <c r="D96" s="76">
        <v>300000</v>
      </c>
      <c r="E96" s="76"/>
      <c r="F96" s="74">
        <f t="shared" si="1"/>
        <v>300000</v>
      </c>
      <c r="H96" s="53" t="s">
        <v>169</v>
      </c>
      <c r="I96" s="62" t="s">
        <v>216</v>
      </c>
      <c r="L96" s="53" t="s">
        <v>264</v>
      </c>
      <c r="M96" s="2">
        <v>0</v>
      </c>
      <c r="N96" s="53" t="s">
        <v>265</v>
      </c>
      <c r="O96" s="2">
        <v>0</v>
      </c>
      <c r="P96" s="60"/>
    </row>
    <row r="97" spans="2:16" ht="27" customHeight="1" x14ac:dyDescent="0.2">
      <c r="B97" s="55" t="s">
        <v>266</v>
      </c>
      <c r="C97" s="72" t="s">
        <v>1093</v>
      </c>
      <c r="D97" s="73">
        <v>1000000</v>
      </c>
      <c r="E97" s="76"/>
      <c r="F97" s="74">
        <f t="shared" si="1"/>
        <v>1000000</v>
      </c>
      <c r="H97" s="53" t="s">
        <v>169</v>
      </c>
      <c r="I97" s="62" t="s">
        <v>216</v>
      </c>
      <c r="L97" s="53" t="s">
        <v>267</v>
      </c>
      <c r="M97" s="2">
        <v>0</v>
      </c>
      <c r="N97" s="53" t="s">
        <v>268</v>
      </c>
      <c r="O97" s="2">
        <v>0</v>
      </c>
      <c r="P97" s="60"/>
    </row>
    <row r="98" spans="2:16" s="1" customFormat="1" ht="14.25" customHeight="1" x14ac:dyDescent="0.2">
      <c r="B98" s="55" t="s">
        <v>269</v>
      </c>
      <c r="C98" s="65" t="s">
        <v>1094</v>
      </c>
      <c r="D98" s="50">
        <v>100000</v>
      </c>
      <c r="E98" s="50"/>
      <c r="F98" s="52">
        <f t="shared" si="1"/>
        <v>100000</v>
      </c>
      <c r="H98" s="53" t="s">
        <v>169</v>
      </c>
      <c r="I98" s="62" t="s">
        <v>216</v>
      </c>
      <c r="L98" s="53" t="s">
        <v>270</v>
      </c>
      <c r="M98" s="2">
        <v>0</v>
      </c>
      <c r="N98" s="53" t="s">
        <v>271</v>
      </c>
      <c r="O98" s="2">
        <v>0</v>
      </c>
      <c r="P98" s="2"/>
    </row>
    <row r="99" spans="2:16" ht="19.5" customHeight="1" x14ac:dyDescent="0.2">
      <c r="B99" s="55" t="s">
        <v>272</v>
      </c>
      <c r="C99" s="72" t="s">
        <v>1095</v>
      </c>
      <c r="D99" s="76">
        <v>800000</v>
      </c>
      <c r="E99" s="76"/>
      <c r="F99" s="74">
        <f t="shared" si="1"/>
        <v>800000</v>
      </c>
      <c r="H99" s="53" t="s">
        <v>169</v>
      </c>
      <c r="I99" s="62" t="s">
        <v>216</v>
      </c>
      <c r="L99" s="53" t="s">
        <v>273</v>
      </c>
      <c r="M99" s="2">
        <v>0</v>
      </c>
      <c r="N99" s="53" t="s">
        <v>274</v>
      </c>
      <c r="O99" s="2">
        <v>0</v>
      </c>
      <c r="P99" s="60"/>
    </row>
    <row r="100" spans="2:16" s="1" customFormat="1" ht="14.25" customHeight="1" x14ac:dyDescent="0.2">
      <c r="B100" s="55" t="s">
        <v>275</v>
      </c>
      <c r="C100" s="65" t="s">
        <v>1096</v>
      </c>
      <c r="D100" s="50">
        <v>200000</v>
      </c>
      <c r="E100" s="50"/>
      <c r="F100" s="52">
        <f t="shared" si="1"/>
        <v>200000</v>
      </c>
      <c r="H100" s="53" t="s">
        <v>169</v>
      </c>
      <c r="I100" s="62" t="s">
        <v>216</v>
      </c>
      <c r="L100" s="53" t="s">
        <v>276</v>
      </c>
      <c r="M100" s="2">
        <v>0</v>
      </c>
      <c r="N100" s="53" t="s">
        <v>277</v>
      </c>
      <c r="O100" s="2">
        <v>0</v>
      </c>
      <c r="P100" s="2"/>
    </row>
    <row r="101" spans="2:16" s="1" customFormat="1" ht="14.25" customHeight="1" x14ac:dyDescent="0.2">
      <c r="B101" s="55" t="s">
        <v>278</v>
      </c>
      <c r="C101" s="65" t="s">
        <v>1097</v>
      </c>
      <c r="D101" s="50">
        <v>100000</v>
      </c>
      <c r="E101" s="50"/>
      <c r="F101" s="52">
        <f t="shared" si="1"/>
        <v>100000</v>
      </c>
      <c r="H101" s="53" t="s">
        <v>169</v>
      </c>
      <c r="I101" s="62" t="s">
        <v>216</v>
      </c>
      <c r="L101" s="53" t="s">
        <v>279</v>
      </c>
      <c r="M101" s="2">
        <v>0</v>
      </c>
      <c r="N101" s="53" t="s">
        <v>280</v>
      </c>
      <c r="O101" s="2">
        <v>0</v>
      </c>
      <c r="P101" s="2"/>
    </row>
    <row r="102" spans="2:16" s="1" customFormat="1" ht="14.25" customHeight="1" x14ac:dyDescent="0.2">
      <c r="B102" s="55" t="s">
        <v>281</v>
      </c>
      <c r="C102" s="65" t="s">
        <v>1098</v>
      </c>
      <c r="D102" s="50">
        <v>100000</v>
      </c>
      <c r="E102" s="50"/>
      <c r="F102" s="52">
        <f t="shared" si="1"/>
        <v>100000</v>
      </c>
      <c r="H102" s="53" t="s">
        <v>169</v>
      </c>
      <c r="I102" s="62" t="s">
        <v>216</v>
      </c>
      <c r="L102" s="53" t="s">
        <v>282</v>
      </c>
      <c r="M102" s="2">
        <v>0</v>
      </c>
      <c r="N102" s="53" t="s">
        <v>283</v>
      </c>
      <c r="O102" s="2">
        <v>0</v>
      </c>
      <c r="P102" s="2"/>
    </row>
    <row r="103" spans="2:16" ht="24.75" customHeight="1" x14ac:dyDescent="0.2">
      <c r="B103" s="77" t="s">
        <v>284</v>
      </c>
      <c r="C103" s="78" t="s">
        <v>1099</v>
      </c>
      <c r="D103" s="73">
        <v>150000</v>
      </c>
      <c r="E103" s="73"/>
      <c r="F103" s="79">
        <f t="shared" si="1"/>
        <v>150000</v>
      </c>
      <c r="H103" s="53" t="s">
        <v>169</v>
      </c>
      <c r="I103" s="62" t="s">
        <v>216</v>
      </c>
      <c r="L103" s="53" t="s">
        <v>285</v>
      </c>
      <c r="M103" s="2">
        <v>0</v>
      </c>
      <c r="N103" s="53" t="s">
        <v>286</v>
      </c>
      <c r="O103" s="2">
        <v>0</v>
      </c>
      <c r="P103" s="60"/>
    </row>
    <row r="104" spans="2:16" ht="27" customHeight="1" x14ac:dyDescent="0.2">
      <c r="B104" s="55" t="s">
        <v>287</v>
      </c>
      <c r="C104" s="56" t="s">
        <v>1100</v>
      </c>
      <c r="D104" s="76">
        <v>3000000</v>
      </c>
      <c r="E104" s="76"/>
      <c r="F104" s="74">
        <f t="shared" si="1"/>
        <v>3000000</v>
      </c>
      <c r="H104" s="53" t="s">
        <v>169</v>
      </c>
      <c r="I104" s="62" t="s">
        <v>216</v>
      </c>
      <c r="L104" s="53" t="s">
        <v>288</v>
      </c>
      <c r="M104" s="2">
        <v>0</v>
      </c>
      <c r="N104" s="53" t="s">
        <v>289</v>
      </c>
      <c r="O104" s="2">
        <v>0</v>
      </c>
      <c r="P104" s="60"/>
    </row>
    <row r="105" spans="2:16" s="1" customFormat="1" ht="14.25" customHeight="1" x14ac:dyDescent="0.2">
      <c r="B105" s="55" t="s">
        <v>290</v>
      </c>
      <c r="C105" s="65" t="s">
        <v>1101</v>
      </c>
      <c r="D105" s="50">
        <v>100000</v>
      </c>
      <c r="E105" s="50"/>
      <c r="F105" s="52">
        <f t="shared" si="1"/>
        <v>100000</v>
      </c>
      <c r="H105" s="53" t="s">
        <v>169</v>
      </c>
      <c r="I105" s="62" t="s">
        <v>216</v>
      </c>
      <c r="L105" s="53" t="s">
        <v>291</v>
      </c>
      <c r="M105" s="2">
        <v>0</v>
      </c>
      <c r="N105" s="53" t="s">
        <v>292</v>
      </c>
      <c r="O105" s="2">
        <v>0</v>
      </c>
      <c r="P105" s="2"/>
    </row>
    <row r="106" spans="2:16" s="1" customFormat="1" ht="14.25" customHeight="1" x14ac:dyDescent="0.2">
      <c r="B106" s="55" t="s">
        <v>293</v>
      </c>
      <c r="C106" s="65" t="s">
        <v>1102</v>
      </c>
      <c r="D106" s="50">
        <v>80000</v>
      </c>
      <c r="E106" s="50"/>
      <c r="F106" s="52">
        <f t="shared" si="1"/>
        <v>80000</v>
      </c>
      <c r="H106" s="53" t="s">
        <v>169</v>
      </c>
      <c r="I106" s="62" t="s">
        <v>216</v>
      </c>
      <c r="L106" s="53" t="s">
        <v>294</v>
      </c>
      <c r="M106" s="2">
        <v>0</v>
      </c>
      <c r="N106" s="53" t="s">
        <v>295</v>
      </c>
      <c r="O106" s="2">
        <v>0</v>
      </c>
      <c r="P106" s="2"/>
    </row>
    <row r="107" spans="2:16" ht="12" customHeight="1" x14ac:dyDescent="0.2">
      <c r="B107" s="55" t="s">
        <v>296</v>
      </c>
      <c r="C107" s="72" t="s">
        <v>1103</v>
      </c>
      <c r="D107" s="50">
        <v>200000</v>
      </c>
      <c r="E107" s="50"/>
      <c r="F107" s="52">
        <f t="shared" si="1"/>
        <v>200000</v>
      </c>
      <c r="H107" s="53" t="s">
        <v>169</v>
      </c>
      <c r="I107" s="62" t="s">
        <v>216</v>
      </c>
      <c r="L107" s="53" t="s">
        <v>297</v>
      </c>
      <c r="M107" s="2">
        <v>0</v>
      </c>
      <c r="N107" s="53" t="s">
        <v>298</v>
      </c>
      <c r="O107" s="2">
        <v>0</v>
      </c>
      <c r="P107" s="60"/>
    </row>
    <row r="108" spans="2:16" ht="20.25" customHeight="1" x14ac:dyDescent="0.2">
      <c r="B108" s="55" t="s">
        <v>299</v>
      </c>
      <c r="C108" s="80" t="s">
        <v>1104</v>
      </c>
      <c r="D108" s="50">
        <v>1500000</v>
      </c>
      <c r="E108" s="50"/>
      <c r="F108" s="52">
        <f t="shared" si="1"/>
        <v>1500000</v>
      </c>
      <c r="H108" s="53" t="s">
        <v>169</v>
      </c>
      <c r="I108" s="62" t="s">
        <v>216</v>
      </c>
      <c r="L108" s="53" t="s">
        <v>300</v>
      </c>
      <c r="M108" s="2">
        <v>0</v>
      </c>
      <c r="N108" s="53" t="s">
        <v>301</v>
      </c>
      <c r="O108" s="2">
        <v>0</v>
      </c>
      <c r="P108" s="60"/>
    </row>
    <row r="109" spans="2:16" s="1" customFormat="1" ht="14.25" customHeight="1" x14ac:dyDescent="0.2">
      <c r="B109" s="55" t="s">
        <v>302</v>
      </c>
      <c r="C109" s="65" t="s">
        <v>1105</v>
      </c>
      <c r="D109" s="50">
        <v>150000</v>
      </c>
      <c r="E109" s="50"/>
      <c r="F109" s="52">
        <f t="shared" si="1"/>
        <v>150000</v>
      </c>
      <c r="H109" s="53" t="s">
        <v>169</v>
      </c>
      <c r="I109" s="62" t="s">
        <v>216</v>
      </c>
      <c r="L109" s="53" t="s">
        <v>303</v>
      </c>
      <c r="M109" s="2">
        <v>0</v>
      </c>
      <c r="N109" s="53" t="s">
        <v>304</v>
      </c>
      <c r="O109" s="2">
        <v>0</v>
      </c>
      <c r="P109" s="2"/>
    </row>
    <row r="110" spans="2:16" ht="14.25" customHeight="1" x14ac:dyDescent="0.2">
      <c r="B110" s="55" t="s">
        <v>305</v>
      </c>
      <c r="C110" s="56" t="s">
        <v>1106</v>
      </c>
      <c r="D110" s="50">
        <f>400000+68775</f>
        <v>468775</v>
      </c>
      <c r="E110" s="50"/>
      <c r="F110" s="52">
        <f t="shared" si="1"/>
        <v>468775</v>
      </c>
      <c r="H110" s="53" t="s">
        <v>169</v>
      </c>
      <c r="I110" s="62" t="s">
        <v>216</v>
      </c>
      <c r="L110" s="53" t="s">
        <v>306</v>
      </c>
      <c r="M110" s="2">
        <v>0</v>
      </c>
      <c r="N110" s="53" t="s">
        <v>307</v>
      </c>
      <c r="O110" s="2">
        <v>0</v>
      </c>
      <c r="P110" s="60"/>
    </row>
    <row r="111" spans="2:16" s="1" customFormat="1" ht="14.25" customHeight="1" x14ac:dyDescent="0.2">
      <c r="B111" s="55" t="s">
        <v>308</v>
      </c>
      <c r="C111" s="65" t="s">
        <v>1107</v>
      </c>
      <c r="D111" s="50">
        <v>800000</v>
      </c>
      <c r="E111" s="50"/>
      <c r="F111" s="52">
        <f t="shared" si="1"/>
        <v>800000</v>
      </c>
      <c r="H111" s="53" t="s">
        <v>169</v>
      </c>
      <c r="I111" s="62" t="s">
        <v>216</v>
      </c>
      <c r="L111" s="53" t="s">
        <v>309</v>
      </c>
      <c r="M111" s="2">
        <v>0</v>
      </c>
      <c r="N111" s="53" t="s">
        <v>310</v>
      </c>
      <c r="O111" s="2">
        <v>0</v>
      </c>
      <c r="P111" s="2"/>
    </row>
    <row r="112" spans="2:16" s="1" customFormat="1" ht="12" customHeight="1" x14ac:dyDescent="0.2">
      <c r="B112" s="55" t="s">
        <v>311</v>
      </c>
      <c r="C112" s="65" t="s">
        <v>1108</v>
      </c>
      <c r="D112" s="50">
        <v>1000000</v>
      </c>
      <c r="E112" s="65"/>
      <c r="F112" s="52">
        <f t="shared" si="1"/>
        <v>1000000</v>
      </c>
      <c r="H112" s="53" t="s">
        <v>169</v>
      </c>
      <c r="I112" s="62" t="s">
        <v>216</v>
      </c>
      <c r="L112" s="53" t="s">
        <v>312</v>
      </c>
      <c r="M112" s="2">
        <v>0</v>
      </c>
      <c r="N112" s="53" t="s">
        <v>313</v>
      </c>
      <c r="O112" s="2">
        <v>0</v>
      </c>
      <c r="P112" s="2"/>
    </row>
    <row r="113" spans="2:16" ht="14.25" customHeight="1" x14ac:dyDescent="0.2">
      <c r="B113" s="55" t="s">
        <v>314</v>
      </c>
      <c r="C113" s="56" t="s">
        <v>315</v>
      </c>
      <c r="D113" s="50">
        <v>1250000</v>
      </c>
      <c r="E113" s="81"/>
      <c r="F113" s="52">
        <f t="shared" si="1"/>
        <v>1250000</v>
      </c>
      <c r="H113" s="53" t="s">
        <v>169</v>
      </c>
      <c r="I113" s="62" t="s">
        <v>216</v>
      </c>
      <c r="L113" s="53" t="s">
        <v>316</v>
      </c>
      <c r="M113" s="2">
        <v>0</v>
      </c>
      <c r="N113" s="53" t="s">
        <v>317</v>
      </c>
      <c r="O113" s="2">
        <v>0</v>
      </c>
      <c r="P113" s="60"/>
    </row>
    <row r="114" spans="2:16" s="36" customFormat="1" ht="14.25" customHeight="1" x14ac:dyDescent="0.2">
      <c r="B114" s="43" t="s">
        <v>318</v>
      </c>
      <c r="C114" s="44" t="s">
        <v>1109</v>
      </c>
      <c r="D114" s="45">
        <f>SUM(D115:D115)</f>
        <v>50000</v>
      </c>
      <c r="E114" s="45">
        <f>SUM(E115:E115)</f>
        <v>0</v>
      </c>
      <c r="F114" s="46">
        <f>D114+E114</f>
        <v>50000</v>
      </c>
      <c r="H114" s="41" t="s">
        <v>169</v>
      </c>
      <c r="I114" s="58" t="s">
        <v>216</v>
      </c>
      <c r="J114" s="39"/>
      <c r="K114" s="39"/>
      <c r="L114" s="41" t="s">
        <v>319</v>
      </c>
      <c r="M114" s="40">
        <v>0</v>
      </c>
      <c r="N114" s="41" t="s">
        <v>320</v>
      </c>
      <c r="O114" s="40">
        <v>0</v>
      </c>
      <c r="P114" s="60"/>
    </row>
    <row r="115" spans="2:16" s="1" customFormat="1" ht="14.25" customHeight="1" x14ac:dyDescent="0.2">
      <c r="B115" s="55" t="s">
        <v>321</v>
      </c>
      <c r="C115" s="65" t="s">
        <v>1110</v>
      </c>
      <c r="D115" s="50">
        <v>50000</v>
      </c>
      <c r="E115" s="50"/>
      <c r="F115" s="52">
        <f>D115+E115</f>
        <v>50000</v>
      </c>
      <c r="H115" s="53" t="s">
        <v>169</v>
      </c>
      <c r="I115" s="62" t="s">
        <v>216</v>
      </c>
      <c r="L115" s="53" t="s">
        <v>322</v>
      </c>
      <c r="M115" s="2">
        <v>0</v>
      </c>
      <c r="N115" s="53" t="s">
        <v>323</v>
      </c>
      <c r="O115" s="2">
        <v>0</v>
      </c>
      <c r="P115" s="2"/>
    </row>
    <row r="116" spans="2:16" s="1" customFormat="1" ht="14.25" customHeight="1" x14ac:dyDescent="0.2">
      <c r="B116" s="43" t="s">
        <v>324</v>
      </c>
      <c r="C116" s="64" t="s">
        <v>325</v>
      </c>
      <c r="D116" s="45">
        <f>D117</f>
        <v>3400000</v>
      </c>
      <c r="E116" s="45"/>
      <c r="F116" s="46">
        <f>D116+E116</f>
        <v>3400000</v>
      </c>
      <c r="H116" s="53"/>
      <c r="I116" s="62"/>
      <c r="L116" s="53"/>
      <c r="M116" s="2"/>
      <c r="N116" s="53"/>
      <c r="O116" s="2"/>
      <c r="P116" s="2"/>
    </row>
    <row r="117" spans="2:16" s="1" customFormat="1" ht="14.25" customHeight="1" x14ac:dyDescent="0.2">
      <c r="B117" s="55" t="s">
        <v>326</v>
      </c>
      <c r="C117" s="65" t="s">
        <v>327</v>
      </c>
      <c r="D117" s="50">
        <v>3400000</v>
      </c>
      <c r="E117" s="50"/>
      <c r="F117" s="52">
        <f>D117+E117</f>
        <v>3400000</v>
      </c>
      <c r="H117" s="53"/>
      <c r="I117" s="62"/>
      <c r="L117" s="53"/>
      <c r="M117" s="2"/>
      <c r="N117" s="53"/>
      <c r="O117" s="2"/>
      <c r="P117" s="2"/>
    </row>
    <row r="118" spans="2:16" s="39" customFormat="1" ht="14.25" customHeight="1" x14ac:dyDescent="0.2">
      <c r="B118" s="43" t="s">
        <v>328</v>
      </c>
      <c r="C118" s="64" t="s">
        <v>1111</v>
      </c>
      <c r="D118" s="45">
        <f>SUM(D119:D119)</f>
        <v>2000000</v>
      </c>
      <c r="E118" s="45">
        <f>SUM(E119:E119)</f>
        <v>0</v>
      </c>
      <c r="F118" s="46">
        <f>D118+E118</f>
        <v>2000000</v>
      </c>
      <c r="H118" s="41" t="s">
        <v>169</v>
      </c>
      <c r="I118" s="58" t="s">
        <v>216</v>
      </c>
      <c r="L118" s="41" t="s">
        <v>329</v>
      </c>
      <c r="M118" s="40">
        <v>0</v>
      </c>
      <c r="N118" s="41" t="s">
        <v>330</v>
      </c>
      <c r="O118" s="40">
        <v>0</v>
      </c>
      <c r="P118" s="40"/>
    </row>
    <row r="119" spans="2:16" s="1" customFormat="1" ht="14.25" customHeight="1" x14ac:dyDescent="0.2">
      <c r="B119" s="55" t="s">
        <v>331</v>
      </c>
      <c r="C119" s="65" t="s">
        <v>1112</v>
      </c>
      <c r="D119" s="50">
        <v>2000000</v>
      </c>
      <c r="E119" s="50"/>
      <c r="F119" s="52">
        <f t="shared" ref="F119:F129" si="2">D119+E119</f>
        <v>2000000</v>
      </c>
      <c r="H119" s="53" t="s">
        <v>169</v>
      </c>
      <c r="I119" s="62" t="s">
        <v>216</v>
      </c>
      <c r="L119" s="53" t="s">
        <v>332</v>
      </c>
      <c r="M119" s="2">
        <v>0</v>
      </c>
      <c r="N119" s="53" t="s">
        <v>333</v>
      </c>
      <c r="O119" s="2">
        <v>0</v>
      </c>
      <c r="P119" s="2"/>
    </row>
    <row r="120" spans="2:16" s="36" customFormat="1" ht="14.25" customHeight="1" x14ac:dyDescent="0.2">
      <c r="B120" s="43" t="s">
        <v>334</v>
      </c>
      <c r="C120" s="44" t="s">
        <v>335</v>
      </c>
      <c r="D120" s="45">
        <f>SUM(D121:D124)</f>
        <v>900000</v>
      </c>
      <c r="E120" s="45">
        <f>SUM(E121:E124)</f>
        <v>0</v>
      </c>
      <c r="F120" s="46">
        <f t="shared" si="2"/>
        <v>900000</v>
      </c>
      <c r="H120" s="41" t="s">
        <v>169</v>
      </c>
      <c r="I120" s="58" t="s">
        <v>335</v>
      </c>
      <c r="J120" s="39"/>
      <c r="K120" s="39"/>
      <c r="L120" s="41" t="s">
        <v>336</v>
      </c>
      <c r="M120" s="40">
        <v>0</v>
      </c>
      <c r="N120" s="41" t="s">
        <v>337</v>
      </c>
      <c r="O120" s="40">
        <v>0</v>
      </c>
      <c r="P120" s="60"/>
    </row>
    <row r="121" spans="2:16" ht="14.25" customHeight="1" x14ac:dyDescent="0.2">
      <c r="B121" s="55" t="s">
        <v>338</v>
      </c>
      <c r="C121" s="56" t="s">
        <v>1113</v>
      </c>
      <c r="D121" s="50">
        <v>250000</v>
      </c>
      <c r="E121" s="50"/>
      <c r="F121" s="52">
        <f t="shared" si="2"/>
        <v>250000</v>
      </c>
      <c r="H121" s="53" t="s">
        <v>169</v>
      </c>
      <c r="I121" s="62" t="s">
        <v>335</v>
      </c>
      <c r="L121" s="53" t="s">
        <v>339</v>
      </c>
      <c r="M121" s="2">
        <v>0</v>
      </c>
      <c r="N121" s="53" t="s">
        <v>340</v>
      </c>
      <c r="O121" s="2">
        <v>0</v>
      </c>
      <c r="P121" s="60"/>
    </row>
    <row r="122" spans="2:16" ht="14.25" customHeight="1" x14ac:dyDescent="0.2">
      <c r="B122" s="55" t="s">
        <v>341</v>
      </c>
      <c r="C122" s="56" t="s">
        <v>1114</v>
      </c>
      <c r="D122" s="50">
        <v>200000</v>
      </c>
      <c r="E122" s="50"/>
      <c r="F122" s="52">
        <f t="shared" si="2"/>
        <v>200000</v>
      </c>
      <c r="H122" s="53" t="s">
        <v>169</v>
      </c>
      <c r="I122" s="62" t="s">
        <v>335</v>
      </c>
      <c r="L122" s="53" t="s">
        <v>342</v>
      </c>
      <c r="M122" s="2">
        <v>0</v>
      </c>
      <c r="N122" s="53" t="s">
        <v>343</v>
      </c>
      <c r="O122" s="2">
        <v>0</v>
      </c>
      <c r="P122" s="60"/>
    </row>
    <row r="123" spans="2:16" ht="14.25" customHeight="1" x14ac:dyDescent="0.2">
      <c r="B123" s="55" t="s">
        <v>344</v>
      </c>
      <c r="C123" s="56" t="s">
        <v>1115</v>
      </c>
      <c r="D123" s="50">
        <v>250000</v>
      </c>
      <c r="E123" s="50"/>
      <c r="F123" s="52">
        <f t="shared" si="2"/>
        <v>250000</v>
      </c>
      <c r="H123" s="53" t="s">
        <v>169</v>
      </c>
      <c r="I123" s="62" t="s">
        <v>335</v>
      </c>
      <c r="L123" s="53" t="s">
        <v>345</v>
      </c>
      <c r="M123" s="2">
        <v>0</v>
      </c>
      <c r="N123" s="53" t="s">
        <v>346</v>
      </c>
      <c r="O123" s="2">
        <v>0</v>
      </c>
      <c r="P123" s="60"/>
    </row>
    <row r="124" spans="2:16" s="1" customFormat="1" ht="14.25" customHeight="1" x14ac:dyDescent="0.2">
      <c r="B124" s="55" t="s">
        <v>347</v>
      </c>
      <c r="C124" s="65" t="s">
        <v>335</v>
      </c>
      <c r="D124" s="50">
        <v>200000</v>
      </c>
      <c r="E124" s="50"/>
      <c r="F124" s="52">
        <f t="shared" si="2"/>
        <v>200000</v>
      </c>
      <c r="H124" s="53" t="s">
        <v>169</v>
      </c>
      <c r="I124" s="62" t="s">
        <v>335</v>
      </c>
      <c r="L124" s="53" t="s">
        <v>348</v>
      </c>
      <c r="M124" s="2">
        <v>0</v>
      </c>
      <c r="N124" s="53" t="s">
        <v>349</v>
      </c>
      <c r="O124" s="2">
        <v>0</v>
      </c>
      <c r="P124" s="2"/>
    </row>
    <row r="125" spans="2:16" s="36" customFormat="1" ht="14.25" customHeight="1" x14ac:dyDescent="0.2">
      <c r="B125" s="43" t="s">
        <v>350</v>
      </c>
      <c r="C125" s="44" t="s">
        <v>351</v>
      </c>
      <c r="D125" s="45">
        <f>D126+D127</f>
        <v>500000</v>
      </c>
      <c r="E125" s="45">
        <f>SUM(E126:E127)</f>
        <v>0</v>
      </c>
      <c r="F125" s="46">
        <f t="shared" si="2"/>
        <v>500000</v>
      </c>
      <c r="H125" s="41" t="s">
        <v>169</v>
      </c>
      <c r="I125" s="58" t="s">
        <v>351</v>
      </c>
      <c r="J125" s="39"/>
      <c r="K125" s="39"/>
      <c r="L125" s="41" t="s">
        <v>352</v>
      </c>
      <c r="M125" s="40">
        <v>0</v>
      </c>
      <c r="N125" s="41" t="s">
        <v>353</v>
      </c>
      <c r="O125" s="40">
        <v>0</v>
      </c>
      <c r="P125" s="60"/>
    </row>
    <row r="126" spans="2:16" ht="14.25" customHeight="1" x14ac:dyDescent="0.2">
      <c r="B126" s="55" t="s">
        <v>354</v>
      </c>
      <c r="C126" s="56" t="s">
        <v>578</v>
      </c>
      <c r="D126" s="50">
        <v>500000</v>
      </c>
      <c r="E126" s="50"/>
      <c r="F126" s="52">
        <f t="shared" si="2"/>
        <v>500000</v>
      </c>
      <c r="H126" s="53" t="s">
        <v>169</v>
      </c>
      <c r="I126" s="62" t="s">
        <v>351</v>
      </c>
      <c r="L126" s="53" t="s">
        <v>355</v>
      </c>
      <c r="M126" s="2">
        <v>0</v>
      </c>
      <c r="N126" s="53" t="s">
        <v>356</v>
      </c>
      <c r="O126" s="2">
        <v>0</v>
      </c>
      <c r="P126" s="60"/>
    </row>
    <row r="127" spans="2:16" ht="14.25" customHeight="1" x14ac:dyDescent="0.2">
      <c r="B127" s="55" t="s">
        <v>357</v>
      </c>
      <c r="C127" s="56" t="s">
        <v>1062</v>
      </c>
      <c r="D127" s="50"/>
      <c r="E127" s="50">
        <v>0</v>
      </c>
      <c r="F127" s="46">
        <f t="shared" si="2"/>
        <v>0</v>
      </c>
      <c r="H127" s="53" t="s">
        <v>169</v>
      </c>
      <c r="I127" s="62" t="s">
        <v>351</v>
      </c>
      <c r="L127" s="53" t="s">
        <v>358</v>
      </c>
      <c r="M127" s="2">
        <v>0</v>
      </c>
      <c r="N127" s="53" t="s">
        <v>359</v>
      </c>
      <c r="O127" s="2">
        <v>0</v>
      </c>
      <c r="P127" s="60"/>
    </row>
    <row r="128" spans="2:16" s="36" customFormat="1" ht="14.25" customHeight="1" x14ac:dyDescent="0.2">
      <c r="B128" s="43" t="s">
        <v>360</v>
      </c>
      <c r="C128" s="44" t="s">
        <v>1116</v>
      </c>
      <c r="D128" s="45">
        <f>SUM(D129:D129)</f>
        <v>1700000</v>
      </c>
      <c r="E128" s="45">
        <f>SUM(E129:E129)</f>
        <v>0</v>
      </c>
      <c r="F128" s="46">
        <f t="shared" si="2"/>
        <v>1700000</v>
      </c>
      <c r="H128" s="41" t="s">
        <v>169</v>
      </c>
      <c r="I128" s="58" t="s">
        <v>361</v>
      </c>
      <c r="J128" s="39"/>
      <c r="K128" s="39"/>
      <c r="L128" s="41" t="s">
        <v>362</v>
      </c>
      <c r="M128" s="40">
        <v>0</v>
      </c>
      <c r="N128" s="41" t="s">
        <v>363</v>
      </c>
      <c r="O128" s="40">
        <v>0</v>
      </c>
      <c r="P128" s="60"/>
    </row>
    <row r="129" spans="2:24" ht="14.25" customHeight="1" x14ac:dyDescent="0.2">
      <c r="B129" s="55" t="s">
        <v>364</v>
      </c>
      <c r="C129" s="65" t="s">
        <v>1117</v>
      </c>
      <c r="D129" s="50">
        <v>1700000</v>
      </c>
      <c r="E129" s="50"/>
      <c r="F129" s="52">
        <f t="shared" si="2"/>
        <v>1700000</v>
      </c>
      <c r="H129" s="53" t="s">
        <v>169</v>
      </c>
      <c r="I129" s="62" t="s">
        <v>361</v>
      </c>
      <c r="L129" s="53" t="s">
        <v>365</v>
      </c>
      <c r="M129" s="2">
        <v>0</v>
      </c>
      <c r="N129" s="53" t="s">
        <v>366</v>
      </c>
      <c r="O129" s="2">
        <v>0</v>
      </c>
      <c r="P129" s="60"/>
    </row>
    <row r="130" spans="2:24" s="42" customFormat="1" ht="14.25" customHeight="1" x14ac:dyDescent="0.2">
      <c r="B130" s="33" t="s">
        <v>715</v>
      </c>
      <c r="C130" s="34" t="s">
        <v>1118</v>
      </c>
      <c r="D130" s="35">
        <f>SUM(D131:D134)</f>
        <v>0</v>
      </c>
      <c r="E130" s="35">
        <f>E131+E132+E133+E134</f>
        <v>67000000</v>
      </c>
      <c r="F130" s="35">
        <f>D130+E130</f>
        <v>67000000</v>
      </c>
      <c r="G130" s="36"/>
      <c r="H130" s="41"/>
      <c r="I130" s="58"/>
      <c r="J130" s="39"/>
      <c r="K130" s="39"/>
      <c r="L130" s="41"/>
      <c r="M130" s="40"/>
      <c r="N130" s="41"/>
      <c r="O130" s="40"/>
      <c r="P130" s="60"/>
      <c r="Q130" s="36"/>
      <c r="R130" s="36"/>
      <c r="S130" s="36"/>
      <c r="T130" s="36"/>
      <c r="U130" s="36"/>
      <c r="V130" s="36"/>
      <c r="W130" s="36"/>
      <c r="X130" s="36"/>
    </row>
    <row r="131" spans="2:24" ht="14.25" customHeight="1" x14ac:dyDescent="0.2">
      <c r="B131" s="55" t="s">
        <v>367</v>
      </c>
      <c r="C131" s="65" t="s">
        <v>1119</v>
      </c>
      <c r="D131" s="50">
        <v>0</v>
      </c>
      <c r="E131" s="50">
        <v>4000000</v>
      </c>
      <c r="F131" s="50">
        <f>D131+E131</f>
        <v>4000000</v>
      </c>
      <c r="H131" s="53" t="s">
        <v>368</v>
      </c>
      <c r="I131" s="62" t="s">
        <v>369</v>
      </c>
      <c r="P131" s="60"/>
    </row>
    <row r="132" spans="2:24" ht="14.25" customHeight="1" x14ac:dyDescent="0.2">
      <c r="B132" s="55" t="s">
        <v>370</v>
      </c>
      <c r="C132" s="65" t="s">
        <v>1120</v>
      </c>
      <c r="D132" s="50">
        <v>0</v>
      </c>
      <c r="E132" s="50">
        <v>5000000</v>
      </c>
      <c r="F132" s="50">
        <f>D132+E132</f>
        <v>5000000</v>
      </c>
      <c r="H132" s="53"/>
      <c r="I132" s="62"/>
      <c r="P132" s="60"/>
    </row>
    <row r="133" spans="2:24" ht="14.25" customHeight="1" x14ac:dyDescent="0.2">
      <c r="B133" s="55" t="s">
        <v>371</v>
      </c>
      <c r="C133" s="55" t="s">
        <v>372</v>
      </c>
      <c r="D133" s="50">
        <v>0</v>
      </c>
      <c r="E133" s="50">
        <v>54000000</v>
      </c>
      <c r="F133" s="50">
        <f>D133+E133</f>
        <v>54000000</v>
      </c>
      <c r="H133" s="53"/>
      <c r="I133" s="62"/>
      <c r="P133" s="70"/>
    </row>
    <row r="134" spans="2:24" ht="12" customHeight="1" x14ac:dyDescent="0.2">
      <c r="B134" s="65" t="s">
        <v>373</v>
      </c>
      <c r="C134" s="65" t="s">
        <v>374</v>
      </c>
      <c r="D134" s="50">
        <v>0</v>
      </c>
      <c r="E134" s="50">
        <v>4000000</v>
      </c>
      <c r="F134" s="50">
        <f>D134+E134</f>
        <v>4000000</v>
      </c>
      <c r="H134" s="53"/>
      <c r="I134" s="62"/>
      <c r="P134" s="60"/>
    </row>
    <row r="135" spans="2:24" ht="14.25" customHeight="1" x14ac:dyDescent="0.2">
      <c r="B135" s="82"/>
      <c r="C135" s="83"/>
      <c r="D135" s="84"/>
      <c r="E135" s="16"/>
      <c r="F135" s="16"/>
      <c r="H135" s="53"/>
      <c r="I135" s="62"/>
    </row>
    <row r="136" spans="2:24" ht="14.25" customHeight="1" x14ac:dyDescent="0.2">
      <c r="B136" s="641" t="s">
        <v>1124</v>
      </c>
      <c r="C136" s="641"/>
      <c r="D136" s="641"/>
      <c r="E136" s="641"/>
      <c r="F136" s="641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24" ht="14.25" customHeight="1" x14ac:dyDescent="0.2">
      <c r="B137" s="86"/>
      <c r="C137" s="86"/>
      <c r="D137" s="86"/>
      <c r="E137" s="86"/>
      <c r="F137" s="86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24" ht="14.25" customHeight="1" x14ac:dyDescent="0.25">
      <c r="B138" s="642" t="s">
        <v>376</v>
      </c>
      <c r="C138" s="642"/>
      <c r="D138" s="642"/>
      <c r="E138" s="642"/>
      <c r="F138" s="642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2:24" ht="14.25" customHeight="1" x14ac:dyDescent="0.2">
      <c r="B139" s="87"/>
      <c r="C139" s="87"/>
      <c r="D139" s="87"/>
      <c r="E139" s="87"/>
      <c r="F139" s="87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</row>
    <row r="140" spans="2:24" ht="14.25" customHeight="1" x14ac:dyDescent="0.2">
      <c r="B140" s="643" t="s">
        <v>377</v>
      </c>
      <c r="C140" s="643"/>
      <c r="D140" s="643"/>
      <c r="E140" s="643"/>
      <c r="F140" s="643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</row>
    <row r="141" spans="2:24" ht="14.25" customHeight="1" x14ac:dyDescent="0.2">
      <c r="B141" s="644" t="s">
        <v>378</v>
      </c>
      <c r="C141" s="644"/>
      <c r="D141" s="644"/>
      <c r="E141" s="644"/>
      <c r="F141" s="644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</row>
    <row r="142" spans="2:24" ht="5.25" customHeight="1" x14ac:dyDescent="0.2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</row>
    <row r="143" spans="2:24" ht="14.25" customHeight="1" x14ac:dyDescent="0.2">
      <c r="B143" s="82"/>
      <c r="C143" s="90"/>
      <c r="D143" s="84"/>
      <c r="E143" s="16"/>
      <c r="F143" s="16"/>
      <c r="H143" s="53" t="s">
        <v>368</v>
      </c>
      <c r="I143" s="62" t="s">
        <v>379</v>
      </c>
    </row>
    <row r="144" spans="2:24" ht="14.25" customHeight="1" x14ac:dyDescent="0.2">
      <c r="B144" s="82"/>
      <c r="C144" s="90"/>
      <c r="D144" s="84"/>
      <c r="E144" s="16"/>
      <c r="F144" s="16"/>
      <c r="H144" s="53" t="s">
        <v>368</v>
      </c>
      <c r="I144" s="62" t="s">
        <v>380</v>
      </c>
    </row>
    <row r="145" spans="2:9" ht="14.25" customHeight="1" x14ac:dyDescent="0.2">
      <c r="B145" s="82"/>
      <c r="C145" s="90"/>
      <c r="D145" s="84"/>
      <c r="E145" s="16"/>
      <c r="F145" s="16"/>
      <c r="H145" s="53" t="s">
        <v>368</v>
      </c>
      <c r="I145" s="62" t="s">
        <v>380</v>
      </c>
    </row>
    <row r="146" spans="2:9" ht="14.25" customHeight="1" x14ac:dyDescent="0.2">
      <c r="B146" s="82"/>
      <c r="C146" s="90"/>
      <c r="D146" s="84"/>
      <c r="E146" s="16"/>
      <c r="F146" s="16"/>
      <c r="H146" s="53" t="s">
        <v>368</v>
      </c>
      <c r="I146" s="62" t="s">
        <v>380</v>
      </c>
    </row>
    <row r="147" spans="2:9" ht="14.25" customHeight="1" x14ac:dyDescent="0.2">
      <c r="B147" s="82"/>
      <c r="C147" s="90"/>
      <c r="D147" s="84"/>
      <c r="E147" s="16"/>
      <c r="F147" s="16"/>
      <c r="H147" s="53" t="s">
        <v>381</v>
      </c>
      <c r="I147" s="62" t="s">
        <v>380</v>
      </c>
    </row>
    <row r="148" spans="2:9" ht="14.25" customHeight="1" x14ac:dyDescent="0.2">
      <c r="B148" s="82"/>
      <c r="C148" s="90"/>
      <c r="D148" s="84"/>
      <c r="E148" s="16"/>
      <c r="F148" s="16"/>
      <c r="H148" s="53" t="s">
        <v>368</v>
      </c>
      <c r="I148" s="62" t="s">
        <v>380</v>
      </c>
    </row>
    <row r="149" spans="2:9" ht="14.25" customHeight="1" x14ac:dyDescent="0.2">
      <c r="B149" s="82"/>
      <c r="C149" s="90"/>
      <c r="D149" s="91"/>
      <c r="E149" s="16"/>
      <c r="F149" s="16"/>
      <c r="H149" s="53" t="s">
        <v>368</v>
      </c>
      <c r="I149" s="62" t="s">
        <v>380</v>
      </c>
    </row>
    <row r="150" spans="2:9" ht="14.25" customHeight="1" x14ac:dyDescent="0.2">
      <c r="B150" s="92"/>
      <c r="C150" s="90"/>
      <c r="D150" s="91"/>
      <c r="E150" s="16"/>
      <c r="F150" s="16"/>
      <c r="H150" s="30" t="s">
        <v>382</v>
      </c>
      <c r="I150" s="93"/>
    </row>
    <row r="151" spans="2:9" ht="14.25" customHeight="1" x14ac:dyDescent="0.2">
      <c r="B151" s="82"/>
      <c r="C151" s="90"/>
      <c r="D151" s="91"/>
      <c r="E151" s="16"/>
      <c r="F151" s="16"/>
      <c r="H151" s="53" t="s">
        <v>382</v>
      </c>
      <c r="I151" s="62" t="s">
        <v>13</v>
      </c>
    </row>
    <row r="152" spans="2:9" ht="14.25" customHeight="1" x14ac:dyDescent="0.2">
      <c r="B152" s="82"/>
      <c r="C152" s="90"/>
      <c r="D152" s="91"/>
      <c r="E152" s="16"/>
      <c r="F152" s="16"/>
      <c r="H152" s="53" t="s">
        <v>382</v>
      </c>
      <c r="I152" s="62" t="s">
        <v>13</v>
      </c>
    </row>
    <row r="153" spans="2:9" ht="14.25" customHeight="1" x14ac:dyDescent="0.2">
      <c r="B153" s="82"/>
      <c r="C153" s="90"/>
      <c r="D153" s="91"/>
      <c r="E153" s="16"/>
      <c r="F153" s="16"/>
      <c r="H153" s="53" t="s">
        <v>382</v>
      </c>
      <c r="I153" s="62" t="s">
        <v>13</v>
      </c>
    </row>
    <row r="154" spans="2:9" ht="14.25" customHeight="1" x14ac:dyDescent="0.2">
      <c r="B154" s="82"/>
      <c r="C154" s="90"/>
      <c r="D154" s="91"/>
      <c r="E154" s="16"/>
      <c r="F154" s="16"/>
      <c r="H154" s="53" t="s">
        <v>368</v>
      </c>
      <c r="I154" s="62" t="s">
        <v>335</v>
      </c>
    </row>
    <row r="155" spans="2:9" ht="14.25" customHeight="1" x14ac:dyDescent="0.2">
      <c r="B155" s="82"/>
      <c r="C155" s="90"/>
      <c r="D155" s="91"/>
      <c r="E155" s="16"/>
      <c r="F155" s="16"/>
      <c r="H155" s="53" t="s">
        <v>368</v>
      </c>
      <c r="I155" s="62" t="s">
        <v>335</v>
      </c>
    </row>
    <row r="156" spans="2:9" ht="14.25" customHeight="1" x14ac:dyDescent="0.2">
      <c r="B156" s="82"/>
      <c r="C156" s="90"/>
      <c r="D156" s="91"/>
      <c r="E156" s="16"/>
      <c r="F156" s="16"/>
      <c r="H156" s="53" t="s">
        <v>368</v>
      </c>
      <c r="I156" s="62" t="s">
        <v>383</v>
      </c>
    </row>
    <row r="157" spans="2:9" ht="14.25" customHeight="1" x14ac:dyDescent="0.2">
      <c r="B157" s="82"/>
      <c r="C157" s="90"/>
      <c r="D157" s="91"/>
      <c r="E157" s="16"/>
      <c r="F157" s="16"/>
      <c r="H157" s="53" t="s">
        <v>368</v>
      </c>
      <c r="I157" s="62" t="s">
        <v>383</v>
      </c>
    </row>
    <row r="158" spans="2:9" ht="14.25" customHeight="1" x14ac:dyDescent="0.2">
      <c r="B158" s="82"/>
      <c r="C158" s="90"/>
      <c r="D158" s="91"/>
      <c r="E158" s="16"/>
      <c r="F158" s="16"/>
      <c r="H158" s="53" t="s">
        <v>368</v>
      </c>
      <c r="I158" s="62" t="s">
        <v>383</v>
      </c>
    </row>
    <row r="159" spans="2:9" ht="14.25" customHeight="1" x14ac:dyDescent="0.2">
      <c r="B159" s="82"/>
      <c r="C159" s="90"/>
      <c r="D159" s="91"/>
      <c r="E159" s="16"/>
      <c r="F159" s="16"/>
      <c r="H159" s="53" t="s">
        <v>368</v>
      </c>
      <c r="I159" s="62" t="s">
        <v>383</v>
      </c>
    </row>
    <row r="160" spans="2:9" ht="14.25" customHeight="1" x14ac:dyDescent="0.2">
      <c r="B160" s="82"/>
      <c r="C160" s="90"/>
      <c r="D160" s="91"/>
      <c r="E160" s="16"/>
      <c r="F160" s="16"/>
      <c r="H160" s="53" t="s">
        <v>368</v>
      </c>
      <c r="I160" s="62" t="s">
        <v>383</v>
      </c>
    </row>
    <row r="161" spans="2:9" ht="14.25" customHeight="1" x14ac:dyDescent="0.2">
      <c r="B161" s="82"/>
      <c r="C161" s="90"/>
      <c r="D161" s="91"/>
      <c r="E161" s="16"/>
      <c r="F161" s="16"/>
      <c r="H161" s="53" t="s">
        <v>368</v>
      </c>
      <c r="I161" s="62" t="s">
        <v>383</v>
      </c>
    </row>
    <row r="162" spans="2:9" ht="14.25" customHeight="1" x14ac:dyDescent="0.2">
      <c r="B162" s="82"/>
      <c r="C162" s="90"/>
      <c r="D162" s="91"/>
      <c r="E162" s="16"/>
      <c r="F162" s="16"/>
      <c r="H162" s="53" t="s">
        <v>368</v>
      </c>
      <c r="I162" s="62" t="s">
        <v>383</v>
      </c>
    </row>
    <row r="163" spans="2:9" ht="14.25" customHeight="1" x14ac:dyDescent="0.2">
      <c r="B163" s="82"/>
      <c r="C163" s="90"/>
      <c r="D163" s="91"/>
      <c r="E163" s="16"/>
      <c r="F163" s="16"/>
      <c r="H163" s="53" t="s">
        <v>368</v>
      </c>
      <c r="I163" s="62" t="s">
        <v>383</v>
      </c>
    </row>
    <row r="164" spans="2:9" ht="14.25" customHeight="1" x14ac:dyDescent="0.2">
      <c r="B164" s="82"/>
      <c r="C164" s="90"/>
      <c r="D164" s="91"/>
      <c r="E164" s="16"/>
      <c r="F164" s="16"/>
      <c r="H164" s="53" t="s">
        <v>368</v>
      </c>
      <c r="I164" s="62" t="s">
        <v>383</v>
      </c>
    </row>
    <row r="165" spans="2:9" ht="14.25" customHeight="1" x14ac:dyDescent="0.2">
      <c r="B165" s="82"/>
      <c r="C165" s="90"/>
      <c r="D165" s="91"/>
      <c r="E165" s="16"/>
      <c r="F165" s="16"/>
      <c r="H165" s="53" t="s">
        <v>368</v>
      </c>
      <c r="I165" s="62" t="s">
        <v>383</v>
      </c>
    </row>
    <row r="166" spans="2:9" ht="14.25" customHeight="1" x14ac:dyDescent="0.2">
      <c r="B166" s="82"/>
      <c r="C166" s="90"/>
      <c r="D166" s="91"/>
      <c r="E166" s="16"/>
      <c r="F166" s="16"/>
      <c r="H166" s="53" t="s">
        <v>368</v>
      </c>
      <c r="I166" s="62" t="s">
        <v>383</v>
      </c>
    </row>
    <row r="167" spans="2:9" ht="14.25" customHeight="1" x14ac:dyDescent="0.2">
      <c r="B167" s="82"/>
      <c r="C167" s="90"/>
      <c r="D167" s="91"/>
      <c r="E167" s="16"/>
      <c r="F167" s="16"/>
      <c r="H167" s="53" t="s">
        <v>368</v>
      </c>
      <c r="I167" s="62" t="s">
        <v>383</v>
      </c>
    </row>
    <row r="168" spans="2:9" ht="14.25" customHeight="1" x14ac:dyDescent="0.2">
      <c r="B168" s="82"/>
      <c r="C168" s="90"/>
      <c r="D168" s="91"/>
      <c r="E168" s="16"/>
      <c r="F168" s="16"/>
      <c r="H168" s="53" t="s">
        <v>368</v>
      </c>
      <c r="I168" s="62" t="s">
        <v>383</v>
      </c>
    </row>
    <row r="169" spans="2:9" ht="14.25" customHeight="1" x14ac:dyDescent="0.2">
      <c r="B169" s="82"/>
      <c r="C169" s="90"/>
      <c r="D169" s="91"/>
      <c r="E169" s="16"/>
      <c r="F169" s="16"/>
      <c r="H169" s="53" t="s">
        <v>368</v>
      </c>
      <c r="I169" s="62" t="s">
        <v>383</v>
      </c>
    </row>
    <row r="170" spans="2:9" ht="14.25" customHeight="1" x14ac:dyDescent="0.2">
      <c r="B170" s="82"/>
      <c r="C170" s="90"/>
      <c r="D170" s="91"/>
      <c r="E170" s="16"/>
      <c r="F170" s="16"/>
      <c r="H170" s="53" t="s">
        <v>368</v>
      </c>
      <c r="I170" s="62" t="s">
        <v>383</v>
      </c>
    </row>
    <row r="171" spans="2:9" ht="14.25" customHeight="1" x14ac:dyDescent="0.2">
      <c r="B171" s="92"/>
      <c r="C171" s="90"/>
      <c r="D171" s="91"/>
      <c r="E171" s="16"/>
      <c r="F171" s="16"/>
      <c r="H171" s="30" t="s">
        <v>368</v>
      </c>
      <c r="I171" s="93" t="s">
        <v>383</v>
      </c>
    </row>
    <row r="172" spans="2:9" ht="14.25" customHeight="1" x14ac:dyDescent="0.2">
      <c r="B172" s="92"/>
      <c r="C172" s="90"/>
      <c r="D172" s="91"/>
      <c r="E172" s="16"/>
      <c r="F172" s="16"/>
      <c r="H172" s="53" t="s">
        <v>368</v>
      </c>
      <c r="I172" s="62" t="s">
        <v>384</v>
      </c>
    </row>
    <row r="173" spans="2:9" ht="14.25" customHeight="1" x14ac:dyDescent="0.2">
      <c r="B173" s="92"/>
      <c r="C173" s="90"/>
      <c r="D173" s="91"/>
      <c r="E173" s="16"/>
      <c r="F173" s="16"/>
      <c r="H173" s="53" t="s">
        <v>368</v>
      </c>
      <c r="I173" s="62" t="s">
        <v>384</v>
      </c>
    </row>
    <row r="174" spans="2:9" ht="14.25" customHeight="1" x14ac:dyDescent="0.2">
      <c r="B174" s="82"/>
      <c r="C174" s="90"/>
      <c r="D174" s="91"/>
      <c r="E174" s="16"/>
      <c r="F174" s="16"/>
      <c r="H174" s="53" t="s">
        <v>368</v>
      </c>
      <c r="I174" s="62" t="s">
        <v>384</v>
      </c>
    </row>
    <row r="175" spans="2:9" ht="14.25" customHeight="1" x14ac:dyDescent="0.2">
      <c r="B175" s="82"/>
      <c r="C175" s="90"/>
      <c r="D175" s="91"/>
      <c r="E175" s="16"/>
      <c r="F175" s="16"/>
      <c r="H175" s="53" t="s">
        <v>368</v>
      </c>
      <c r="I175" s="62" t="s">
        <v>384</v>
      </c>
    </row>
    <row r="176" spans="2:9" ht="14.25" customHeight="1" x14ac:dyDescent="0.2">
      <c r="B176" s="82"/>
      <c r="C176" s="90"/>
      <c r="D176" s="91"/>
      <c r="E176" s="16"/>
      <c r="F176" s="16"/>
      <c r="H176" s="53" t="s">
        <v>368</v>
      </c>
      <c r="I176" s="62" t="s">
        <v>384</v>
      </c>
    </row>
    <row r="177" spans="2:9" ht="14.25" customHeight="1" x14ac:dyDescent="0.2">
      <c r="B177" s="82"/>
      <c r="C177" s="90"/>
      <c r="D177" s="91"/>
      <c r="E177" s="16"/>
      <c r="F177" s="16"/>
      <c r="H177" s="53" t="s">
        <v>368</v>
      </c>
      <c r="I177" s="62" t="s">
        <v>384</v>
      </c>
    </row>
    <row r="178" spans="2:9" ht="14.25" customHeight="1" x14ac:dyDescent="0.2">
      <c r="B178" s="82"/>
      <c r="C178" s="90"/>
      <c r="D178" s="91"/>
      <c r="E178" s="16"/>
      <c r="F178" s="16"/>
      <c r="H178" s="53" t="s">
        <v>368</v>
      </c>
      <c r="I178" s="62" t="s">
        <v>384</v>
      </c>
    </row>
    <row r="179" spans="2:9" ht="14.25" customHeight="1" x14ac:dyDescent="0.2">
      <c r="B179" s="82"/>
      <c r="C179" s="90"/>
      <c r="D179" s="91"/>
      <c r="E179" s="16"/>
      <c r="F179" s="16"/>
      <c r="H179" s="53" t="s">
        <v>368</v>
      </c>
      <c r="I179" s="62" t="s">
        <v>384</v>
      </c>
    </row>
    <row r="180" spans="2:9" ht="14.25" customHeight="1" x14ac:dyDescent="0.2">
      <c r="B180" s="82"/>
      <c r="C180" s="90"/>
      <c r="D180" s="91"/>
      <c r="E180" s="16"/>
      <c r="F180" s="16"/>
      <c r="H180" s="53" t="s">
        <v>368</v>
      </c>
      <c r="I180" s="62" t="s">
        <v>384</v>
      </c>
    </row>
    <row r="181" spans="2:9" ht="14.25" customHeight="1" x14ac:dyDescent="0.2">
      <c r="B181" s="82"/>
      <c r="C181" s="90"/>
      <c r="D181" s="91"/>
      <c r="E181" s="16"/>
      <c r="F181" s="16"/>
      <c r="H181" s="53" t="s">
        <v>368</v>
      </c>
      <c r="I181" s="62" t="s">
        <v>384</v>
      </c>
    </row>
    <row r="182" spans="2:9" ht="14.25" customHeight="1" x14ac:dyDescent="0.2">
      <c r="B182" s="82"/>
      <c r="C182" s="90"/>
      <c r="D182" s="91"/>
      <c r="E182" s="16"/>
      <c r="F182" s="16"/>
      <c r="H182" s="53" t="s">
        <v>368</v>
      </c>
      <c r="I182" s="62" t="s">
        <v>384</v>
      </c>
    </row>
    <row r="183" spans="2:9" ht="14.25" customHeight="1" x14ac:dyDescent="0.2">
      <c r="B183" s="82"/>
      <c r="C183" s="90"/>
      <c r="D183" s="91"/>
      <c r="E183" s="16"/>
      <c r="F183" s="16"/>
      <c r="H183" s="53" t="s">
        <v>368</v>
      </c>
      <c r="I183" s="62" t="s">
        <v>384</v>
      </c>
    </row>
    <row r="184" spans="2:9" ht="14.25" customHeight="1" x14ac:dyDescent="0.2">
      <c r="B184" s="82"/>
      <c r="C184" s="90"/>
      <c r="D184" s="91"/>
      <c r="E184" s="16"/>
      <c r="F184" s="16"/>
      <c r="H184" s="53" t="s">
        <v>368</v>
      </c>
      <c r="I184" s="62" t="s">
        <v>384</v>
      </c>
    </row>
    <row r="185" spans="2:9" ht="14.25" customHeight="1" x14ac:dyDescent="0.2">
      <c r="B185" s="82"/>
      <c r="C185" s="90"/>
      <c r="D185" s="91"/>
      <c r="E185" s="16"/>
      <c r="F185" s="16"/>
      <c r="H185" s="53" t="s">
        <v>368</v>
      </c>
      <c r="I185" s="62" t="s">
        <v>384</v>
      </c>
    </row>
    <row r="186" spans="2:9" ht="14.25" customHeight="1" x14ac:dyDescent="0.2">
      <c r="B186" s="82"/>
      <c r="C186" s="90"/>
      <c r="D186" s="91"/>
      <c r="E186" s="16"/>
      <c r="F186" s="16"/>
      <c r="H186" s="53" t="s">
        <v>368</v>
      </c>
      <c r="I186" s="62" t="s">
        <v>173</v>
      </c>
    </row>
    <row r="187" spans="2:9" ht="14.25" customHeight="1" x14ac:dyDescent="0.2">
      <c r="B187" s="82"/>
      <c r="C187" s="90"/>
      <c r="D187" s="91"/>
      <c r="E187" s="16"/>
      <c r="F187" s="16"/>
      <c r="H187" s="53" t="s">
        <v>368</v>
      </c>
      <c r="I187" s="62" t="s">
        <v>173</v>
      </c>
    </row>
    <row r="188" spans="2:9" ht="14.25" customHeight="1" x14ac:dyDescent="0.2">
      <c r="B188" s="82"/>
      <c r="C188" s="90"/>
      <c r="D188" s="91"/>
      <c r="E188" s="16"/>
      <c r="F188" s="16"/>
      <c r="H188" s="53" t="s">
        <v>368</v>
      </c>
      <c r="I188" s="62" t="s">
        <v>173</v>
      </c>
    </row>
    <row r="189" spans="2:9" ht="14.25" customHeight="1" x14ac:dyDescent="0.2">
      <c r="B189" s="82"/>
      <c r="C189" s="90"/>
      <c r="D189" s="91"/>
      <c r="E189" s="16"/>
      <c r="F189" s="16"/>
      <c r="H189" s="53" t="s">
        <v>368</v>
      </c>
      <c r="I189" s="62" t="s">
        <v>173</v>
      </c>
    </row>
    <row r="190" spans="2:9" ht="14.25" customHeight="1" x14ac:dyDescent="0.2">
      <c r="B190" s="82"/>
      <c r="C190" s="90"/>
      <c r="D190" s="91"/>
      <c r="E190" s="16"/>
      <c r="F190" s="16"/>
      <c r="H190" s="53" t="s">
        <v>368</v>
      </c>
      <c r="I190" s="62" t="s">
        <v>173</v>
      </c>
    </row>
    <row r="191" spans="2:9" ht="14.25" customHeight="1" x14ac:dyDescent="0.2">
      <c r="B191" s="82"/>
      <c r="C191" s="90"/>
      <c r="D191" s="91"/>
      <c r="E191" s="16"/>
      <c r="F191" s="16"/>
      <c r="H191" s="53" t="s">
        <v>368</v>
      </c>
      <c r="I191" s="62" t="s">
        <v>173</v>
      </c>
    </row>
    <row r="192" spans="2:9" ht="14.25" customHeight="1" x14ac:dyDescent="0.2">
      <c r="B192" s="82"/>
      <c r="C192" s="90"/>
      <c r="D192" s="91"/>
      <c r="E192" s="16"/>
      <c r="F192" s="16"/>
      <c r="H192" s="53" t="s">
        <v>368</v>
      </c>
      <c r="I192" s="62" t="s">
        <v>173</v>
      </c>
    </row>
    <row r="193" spans="2:9" ht="14.25" customHeight="1" x14ac:dyDescent="0.2">
      <c r="B193" s="82"/>
      <c r="C193" s="90"/>
      <c r="D193" s="91"/>
      <c r="E193" s="16"/>
      <c r="F193" s="16"/>
      <c r="H193" s="53" t="s">
        <v>368</v>
      </c>
      <c r="I193" s="62" t="s">
        <v>173</v>
      </c>
    </row>
    <row r="194" spans="2:9" ht="14.25" customHeight="1" x14ac:dyDescent="0.2">
      <c r="B194" s="82"/>
      <c r="C194" s="90"/>
      <c r="D194" s="91"/>
      <c r="E194" s="16"/>
      <c r="F194" s="16"/>
      <c r="H194" s="53" t="s">
        <v>368</v>
      </c>
      <c r="I194" s="62" t="s">
        <v>173</v>
      </c>
    </row>
    <row r="195" spans="2:9" ht="14.25" customHeight="1" x14ac:dyDescent="0.2">
      <c r="B195" s="82"/>
      <c r="C195" s="90"/>
      <c r="D195" s="91"/>
      <c r="E195" s="16"/>
      <c r="F195" s="16"/>
      <c r="H195" s="53" t="s">
        <v>368</v>
      </c>
      <c r="I195" s="62" t="s">
        <v>173</v>
      </c>
    </row>
    <row r="196" spans="2:9" ht="14.25" customHeight="1" x14ac:dyDescent="0.2">
      <c r="B196" s="82"/>
      <c r="C196" s="90"/>
      <c r="D196" s="91"/>
      <c r="E196" s="16"/>
      <c r="F196" s="16"/>
      <c r="H196" s="53" t="s">
        <v>368</v>
      </c>
      <c r="I196" s="62" t="s">
        <v>173</v>
      </c>
    </row>
    <row r="197" spans="2:9" ht="14.25" customHeight="1" x14ac:dyDescent="0.2">
      <c r="B197" s="82"/>
      <c r="C197" s="90"/>
      <c r="D197" s="91"/>
      <c r="E197" s="16"/>
      <c r="F197" s="16"/>
      <c r="H197" s="53" t="s">
        <v>368</v>
      </c>
      <c r="I197" s="62" t="s">
        <v>173</v>
      </c>
    </row>
    <row r="198" spans="2:9" ht="14.25" customHeight="1" x14ac:dyDescent="0.2">
      <c r="B198" s="82"/>
      <c r="C198" s="90"/>
      <c r="D198" s="91"/>
      <c r="E198" s="16"/>
      <c r="F198" s="16"/>
      <c r="H198" s="53" t="s">
        <v>368</v>
      </c>
      <c r="I198" s="62" t="s">
        <v>173</v>
      </c>
    </row>
    <row r="199" spans="2:9" ht="14.25" customHeight="1" x14ac:dyDescent="0.2">
      <c r="B199" s="82"/>
      <c r="C199" s="90"/>
      <c r="D199" s="91"/>
      <c r="E199" s="16"/>
      <c r="F199" s="16"/>
      <c r="H199" s="53" t="s">
        <v>368</v>
      </c>
      <c r="I199" s="62" t="s">
        <v>385</v>
      </c>
    </row>
    <row r="200" spans="2:9" ht="14.25" customHeight="1" x14ac:dyDescent="0.2">
      <c r="B200" s="82"/>
      <c r="C200" s="90"/>
      <c r="D200" s="91"/>
      <c r="E200" s="16"/>
      <c r="F200" s="16"/>
      <c r="H200" s="53" t="s">
        <v>368</v>
      </c>
      <c r="I200" s="62" t="s">
        <v>385</v>
      </c>
    </row>
    <row r="201" spans="2:9" ht="14.25" customHeight="1" x14ac:dyDescent="0.2">
      <c r="B201" s="82"/>
      <c r="C201" s="90"/>
      <c r="D201" s="91"/>
      <c r="E201" s="16"/>
      <c r="F201" s="16"/>
      <c r="H201" s="53" t="s">
        <v>368</v>
      </c>
      <c r="I201" s="62" t="s">
        <v>385</v>
      </c>
    </row>
    <row r="202" spans="2:9" ht="14.25" customHeight="1" x14ac:dyDescent="0.2">
      <c r="B202" s="82"/>
      <c r="C202" s="90"/>
      <c r="D202" s="91"/>
      <c r="E202" s="16"/>
      <c r="F202" s="16"/>
      <c r="H202" s="53" t="s">
        <v>368</v>
      </c>
      <c r="I202" s="62" t="s">
        <v>385</v>
      </c>
    </row>
    <row r="203" spans="2:9" ht="14.25" customHeight="1" x14ac:dyDescent="0.2">
      <c r="B203" s="82"/>
      <c r="C203" s="90"/>
      <c r="D203" s="91"/>
      <c r="E203" s="16"/>
      <c r="F203" s="16"/>
      <c r="H203" s="53" t="s">
        <v>368</v>
      </c>
      <c r="I203" s="62" t="s">
        <v>385</v>
      </c>
    </row>
    <row r="204" spans="2:9" ht="14.25" customHeight="1" x14ac:dyDescent="0.2">
      <c r="B204" s="82"/>
      <c r="C204" s="90"/>
      <c r="D204" s="91"/>
      <c r="E204" s="16"/>
      <c r="F204" s="16"/>
      <c r="H204" s="53" t="s">
        <v>368</v>
      </c>
      <c r="I204" s="62" t="s">
        <v>385</v>
      </c>
    </row>
    <row r="205" spans="2:9" ht="14.25" customHeight="1" x14ac:dyDescent="0.2">
      <c r="B205" s="82"/>
      <c r="C205" s="90"/>
      <c r="D205" s="91"/>
      <c r="E205" s="16"/>
      <c r="F205" s="16"/>
      <c r="H205" s="53" t="s">
        <v>368</v>
      </c>
      <c r="I205" s="62" t="s">
        <v>385</v>
      </c>
    </row>
    <row r="206" spans="2:9" ht="14.25" customHeight="1" x14ac:dyDescent="0.2">
      <c r="B206" s="82"/>
      <c r="C206" s="90"/>
      <c r="D206" s="91"/>
      <c r="E206" s="16"/>
      <c r="F206" s="16"/>
      <c r="H206" s="53" t="s">
        <v>368</v>
      </c>
      <c r="I206" s="62" t="s">
        <v>385</v>
      </c>
    </row>
    <row r="207" spans="2:9" ht="14.25" customHeight="1" x14ac:dyDescent="0.2">
      <c r="B207" s="82"/>
      <c r="C207" s="90"/>
      <c r="D207" s="91"/>
      <c r="E207" s="16"/>
      <c r="F207" s="16"/>
      <c r="H207" s="53" t="s">
        <v>368</v>
      </c>
      <c r="I207" s="62" t="s">
        <v>385</v>
      </c>
    </row>
    <row r="208" spans="2:9" ht="14.25" customHeight="1" x14ac:dyDescent="0.2">
      <c r="B208" s="82"/>
      <c r="C208" s="90"/>
      <c r="D208" s="91"/>
      <c r="E208" s="16"/>
      <c r="F208" s="16"/>
      <c r="H208" s="53" t="s">
        <v>368</v>
      </c>
      <c r="I208" s="62" t="s">
        <v>385</v>
      </c>
    </row>
    <row r="209" spans="2:9" ht="14.25" customHeight="1" x14ac:dyDescent="0.2">
      <c r="B209" s="82"/>
      <c r="C209" s="90"/>
      <c r="D209" s="91"/>
      <c r="E209" s="16"/>
      <c r="F209" s="16"/>
      <c r="H209" s="53" t="s">
        <v>368</v>
      </c>
      <c r="I209" s="62" t="s">
        <v>385</v>
      </c>
    </row>
    <row r="210" spans="2:9" ht="14.25" customHeight="1" x14ac:dyDescent="0.2">
      <c r="B210" s="82"/>
      <c r="C210" s="90"/>
      <c r="D210" s="91"/>
      <c r="E210" s="16"/>
      <c r="F210" s="16"/>
      <c r="H210" s="53" t="s">
        <v>368</v>
      </c>
      <c r="I210" s="62" t="s">
        <v>385</v>
      </c>
    </row>
    <row r="211" spans="2:9" ht="14.25" customHeight="1" x14ac:dyDescent="0.2">
      <c r="B211" s="82"/>
      <c r="C211" s="90"/>
      <c r="D211" s="91"/>
      <c r="E211" s="16"/>
      <c r="F211" s="16"/>
      <c r="H211" s="53" t="s">
        <v>368</v>
      </c>
      <c r="I211" s="62" t="s">
        <v>385</v>
      </c>
    </row>
    <row r="212" spans="2:9" ht="14.25" customHeight="1" x14ac:dyDescent="0.2">
      <c r="B212" s="82"/>
      <c r="C212" s="90"/>
      <c r="D212" s="91"/>
      <c r="E212" s="16"/>
      <c r="F212" s="16"/>
      <c r="H212" s="53" t="s">
        <v>368</v>
      </c>
      <c r="I212" s="62" t="s">
        <v>385</v>
      </c>
    </row>
    <row r="213" spans="2:9" ht="14.25" customHeight="1" x14ac:dyDescent="0.2">
      <c r="B213" s="82"/>
      <c r="C213" s="90"/>
      <c r="D213" s="91"/>
      <c r="E213" s="16"/>
      <c r="F213" s="16"/>
      <c r="H213" s="53" t="s">
        <v>368</v>
      </c>
      <c r="I213" s="62" t="s">
        <v>386</v>
      </c>
    </row>
    <row r="214" spans="2:9" ht="14.25" customHeight="1" x14ac:dyDescent="0.2">
      <c r="B214" s="82"/>
      <c r="C214" s="90"/>
      <c r="D214" s="91"/>
      <c r="E214" s="16"/>
      <c r="F214" s="16"/>
      <c r="H214" s="53" t="s">
        <v>368</v>
      </c>
      <c r="I214" s="62" t="s">
        <v>386</v>
      </c>
    </row>
    <row r="215" spans="2:9" ht="14.25" customHeight="1" x14ac:dyDescent="0.2">
      <c r="B215" s="82"/>
      <c r="C215" s="90"/>
      <c r="D215" s="91"/>
      <c r="E215" s="16"/>
      <c r="F215" s="16"/>
      <c r="H215" s="53" t="s">
        <v>368</v>
      </c>
      <c r="I215" s="62" t="s">
        <v>386</v>
      </c>
    </row>
    <row r="216" spans="2:9" ht="14.25" customHeight="1" x14ac:dyDescent="0.2">
      <c r="B216" s="82"/>
      <c r="C216" s="90"/>
      <c r="D216" s="91"/>
      <c r="E216" s="16"/>
      <c r="F216" s="16"/>
      <c r="H216" s="53" t="s">
        <v>368</v>
      </c>
      <c r="I216" s="62" t="s">
        <v>386</v>
      </c>
    </row>
    <row r="217" spans="2:9" ht="14.25" customHeight="1" x14ac:dyDescent="0.2">
      <c r="B217" s="82"/>
      <c r="C217" s="90"/>
      <c r="D217" s="91"/>
      <c r="E217" s="16"/>
      <c r="F217" s="16"/>
      <c r="H217" s="53" t="s">
        <v>368</v>
      </c>
      <c r="I217" s="62" t="s">
        <v>386</v>
      </c>
    </row>
    <row r="218" spans="2:9" ht="14.25" customHeight="1" x14ac:dyDescent="0.2">
      <c r="B218" s="82"/>
      <c r="C218" s="90"/>
      <c r="D218" s="91"/>
      <c r="E218" s="16"/>
      <c r="F218" s="16"/>
      <c r="H218" s="53" t="s">
        <v>368</v>
      </c>
      <c r="I218" s="62" t="s">
        <v>386</v>
      </c>
    </row>
    <row r="219" spans="2:9" ht="14.25" customHeight="1" x14ac:dyDescent="0.2">
      <c r="B219" s="82"/>
      <c r="C219" s="90"/>
      <c r="D219" s="91"/>
      <c r="E219" s="16"/>
      <c r="F219" s="16"/>
      <c r="H219" s="53" t="s">
        <v>368</v>
      </c>
      <c r="I219" s="62" t="s">
        <v>386</v>
      </c>
    </row>
    <row r="220" spans="2:9" ht="14.25" customHeight="1" x14ac:dyDescent="0.2">
      <c r="B220" s="82"/>
      <c r="C220" s="90"/>
      <c r="D220" s="91"/>
      <c r="E220" s="16"/>
      <c r="F220" s="16"/>
      <c r="H220" s="53" t="s">
        <v>368</v>
      </c>
      <c r="I220" s="62" t="s">
        <v>387</v>
      </c>
    </row>
    <row r="221" spans="2:9" ht="14.25" customHeight="1" x14ac:dyDescent="0.2">
      <c r="B221" s="92"/>
      <c r="C221" s="90"/>
      <c r="D221" s="91"/>
      <c r="E221" s="16"/>
      <c r="F221" s="16"/>
      <c r="H221" s="30" t="s">
        <v>368</v>
      </c>
      <c r="I221" s="93" t="s">
        <v>388</v>
      </c>
    </row>
    <row r="222" spans="2:9" ht="14.25" customHeight="1" x14ac:dyDescent="0.2">
      <c r="B222" s="82"/>
      <c r="C222" s="90"/>
      <c r="D222" s="91"/>
      <c r="E222" s="16"/>
      <c r="F222" s="16"/>
      <c r="H222" s="53" t="s">
        <v>368</v>
      </c>
      <c r="I222" s="62" t="s">
        <v>388</v>
      </c>
    </row>
    <row r="223" spans="2:9" ht="14.25" customHeight="1" x14ac:dyDescent="0.2">
      <c r="B223" s="82"/>
      <c r="C223" s="90"/>
      <c r="D223" s="91"/>
      <c r="E223" s="16"/>
      <c r="F223" s="16"/>
      <c r="H223" s="53" t="s">
        <v>368</v>
      </c>
      <c r="I223" s="62" t="s">
        <v>388</v>
      </c>
    </row>
    <row r="224" spans="2:9" ht="14.25" customHeight="1" x14ac:dyDescent="0.2">
      <c r="B224" s="82"/>
      <c r="C224" s="90"/>
      <c r="D224" s="91"/>
      <c r="E224" s="16"/>
      <c r="F224" s="16"/>
      <c r="H224" s="53" t="s">
        <v>368</v>
      </c>
      <c r="I224" s="62" t="s">
        <v>388</v>
      </c>
    </row>
    <row r="225" spans="2:9" ht="14.25" customHeight="1" x14ac:dyDescent="0.2">
      <c r="B225" s="82"/>
      <c r="C225" s="90"/>
      <c r="D225" s="91"/>
      <c r="E225" s="16"/>
      <c r="F225" s="16"/>
      <c r="H225" s="53" t="s">
        <v>368</v>
      </c>
      <c r="I225" s="62" t="s">
        <v>388</v>
      </c>
    </row>
    <row r="226" spans="2:9" ht="14.25" customHeight="1" x14ac:dyDescent="0.2">
      <c r="B226" s="82"/>
      <c r="C226" s="90"/>
      <c r="D226" s="91"/>
      <c r="E226" s="16"/>
      <c r="F226" s="16"/>
      <c r="H226" s="53" t="s">
        <v>368</v>
      </c>
      <c r="I226" s="62"/>
    </row>
    <row r="227" spans="2:9" ht="14.25" customHeight="1" x14ac:dyDescent="0.2">
      <c r="B227" s="82"/>
      <c r="C227" s="90"/>
      <c r="D227" s="91"/>
      <c r="E227" s="16"/>
      <c r="F227" s="16"/>
      <c r="H227" s="53" t="s">
        <v>368</v>
      </c>
      <c r="I227" s="62" t="s">
        <v>389</v>
      </c>
    </row>
    <row r="228" spans="2:9" ht="14.25" customHeight="1" x14ac:dyDescent="0.2">
      <c r="B228" s="82"/>
      <c r="C228" s="90"/>
      <c r="D228" s="91"/>
      <c r="E228" s="16"/>
      <c r="F228" s="16"/>
      <c r="H228" s="53" t="s">
        <v>368</v>
      </c>
      <c r="I228" s="62" t="s">
        <v>389</v>
      </c>
    </row>
    <row r="229" spans="2:9" ht="14.25" customHeight="1" x14ac:dyDescent="0.2">
      <c r="B229" s="82"/>
      <c r="C229" s="90"/>
      <c r="D229" s="91"/>
      <c r="E229" s="16"/>
      <c r="F229" s="16"/>
      <c r="H229" s="53" t="s">
        <v>368</v>
      </c>
      <c r="I229" s="62" t="s">
        <v>389</v>
      </c>
    </row>
    <row r="230" spans="2:9" ht="14.25" customHeight="1" x14ac:dyDescent="0.2">
      <c r="B230" s="82"/>
      <c r="C230" s="90"/>
      <c r="D230" s="91"/>
      <c r="E230" s="16"/>
      <c r="F230" s="16"/>
      <c r="H230" s="53" t="s">
        <v>368</v>
      </c>
      <c r="I230" s="62" t="s">
        <v>389</v>
      </c>
    </row>
    <row r="231" spans="2:9" ht="14.25" customHeight="1" x14ac:dyDescent="0.2">
      <c r="B231" s="82"/>
      <c r="C231" s="90"/>
      <c r="D231" s="91"/>
      <c r="E231" s="16"/>
      <c r="F231" s="16"/>
      <c r="H231" s="53" t="s">
        <v>368</v>
      </c>
      <c r="I231" s="62" t="s">
        <v>389</v>
      </c>
    </row>
    <row r="232" spans="2:9" ht="14.25" customHeight="1" x14ac:dyDescent="0.2">
      <c r="B232" s="94"/>
      <c r="C232" s="95"/>
      <c r="D232" s="96"/>
      <c r="H232" s="53" t="s">
        <v>368</v>
      </c>
      <c r="I232" s="62" t="s">
        <v>389</v>
      </c>
    </row>
    <row r="233" spans="2:9" ht="14.25" customHeight="1" x14ac:dyDescent="0.2">
      <c r="B233" s="94"/>
      <c r="C233" s="95"/>
      <c r="D233" s="96"/>
      <c r="H233" s="53" t="s">
        <v>368</v>
      </c>
      <c r="I233" s="62" t="s">
        <v>389</v>
      </c>
    </row>
    <row r="234" spans="2:9" ht="14.25" customHeight="1" x14ac:dyDescent="0.2">
      <c r="B234" s="94"/>
      <c r="C234" s="95"/>
      <c r="D234" s="96"/>
      <c r="H234" s="53" t="s">
        <v>368</v>
      </c>
      <c r="I234" s="62" t="s">
        <v>389</v>
      </c>
    </row>
    <row r="235" spans="2:9" ht="14.25" customHeight="1" x14ac:dyDescent="0.2">
      <c r="B235" s="94"/>
      <c r="C235" s="95"/>
      <c r="D235" s="96"/>
      <c r="H235" s="53" t="s">
        <v>368</v>
      </c>
      <c r="I235" s="62" t="s">
        <v>389</v>
      </c>
    </row>
    <row r="236" spans="2:9" ht="14.25" customHeight="1" x14ac:dyDescent="0.2">
      <c r="B236" s="94"/>
      <c r="C236" s="95"/>
      <c r="D236" s="96"/>
      <c r="H236" s="53" t="s">
        <v>368</v>
      </c>
      <c r="I236" s="62" t="s">
        <v>369</v>
      </c>
    </row>
    <row r="237" spans="2:9" ht="14.25" customHeight="1" x14ac:dyDescent="0.2">
      <c r="B237" s="94"/>
      <c r="C237" s="95"/>
      <c r="D237" s="96"/>
      <c r="H237" s="53" t="s">
        <v>368</v>
      </c>
      <c r="I237" s="62" t="s">
        <v>369</v>
      </c>
    </row>
    <row r="238" spans="2:9" ht="14.25" customHeight="1" x14ac:dyDescent="0.2">
      <c r="B238" s="94"/>
      <c r="C238" s="95"/>
      <c r="D238" s="96"/>
      <c r="H238" s="53" t="s">
        <v>368</v>
      </c>
      <c r="I238" s="62" t="s">
        <v>369</v>
      </c>
    </row>
    <row r="239" spans="2:9" ht="14.25" customHeight="1" x14ac:dyDescent="0.2">
      <c r="B239" s="94"/>
      <c r="C239" s="95"/>
      <c r="D239" s="96"/>
      <c r="H239" s="53" t="s">
        <v>368</v>
      </c>
      <c r="I239" s="62" t="s">
        <v>369</v>
      </c>
    </row>
    <row r="240" spans="2:9" ht="14.25" customHeight="1" x14ac:dyDescent="0.2">
      <c r="B240" s="94"/>
      <c r="C240" s="95"/>
      <c r="D240" s="96"/>
      <c r="H240" s="53" t="s">
        <v>368</v>
      </c>
      <c r="I240" s="62" t="s">
        <v>369</v>
      </c>
    </row>
    <row r="241" spans="2:9" ht="14.25" customHeight="1" x14ac:dyDescent="0.2">
      <c r="B241" s="94"/>
      <c r="C241" s="95"/>
      <c r="D241" s="96"/>
      <c r="H241" s="53" t="s">
        <v>368</v>
      </c>
      <c r="I241" s="62" t="s">
        <v>369</v>
      </c>
    </row>
    <row r="242" spans="2:9" ht="14.25" customHeight="1" x14ac:dyDescent="0.2">
      <c r="B242" s="94"/>
      <c r="C242" s="95"/>
      <c r="D242" s="96"/>
      <c r="H242" s="53" t="s">
        <v>368</v>
      </c>
      <c r="I242" s="62" t="s">
        <v>369</v>
      </c>
    </row>
    <row r="243" spans="2:9" ht="14.25" customHeight="1" x14ac:dyDescent="0.2">
      <c r="B243" s="94"/>
      <c r="C243" s="95"/>
      <c r="D243" s="96"/>
      <c r="H243" s="53" t="s">
        <v>368</v>
      </c>
      <c r="I243" s="62" t="s">
        <v>369</v>
      </c>
    </row>
    <row r="244" spans="2:9" ht="14.25" customHeight="1" x14ac:dyDescent="0.2">
      <c r="B244" s="94"/>
      <c r="C244" s="95"/>
      <c r="D244" s="96"/>
      <c r="H244" s="53" t="s">
        <v>368</v>
      </c>
      <c r="I244" s="62" t="s">
        <v>369</v>
      </c>
    </row>
    <row r="245" spans="2:9" ht="14.25" customHeight="1" x14ac:dyDescent="0.2">
      <c r="B245" s="94"/>
      <c r="C245" s="95"/>
      <c r="D245" s="96"/>
      <c r="H245" s="53" t="s">
        <v>368</v>
      </c>
      <c r="I245" s="62" t="s">
        <v>369</v>
      </c>
    </row>
    <row r="246" spans="2:9" ht="14.25" customHeight="1" x14ac:dyDescent="0.2">
      <c r="B246" s="94"/>
      <c r="C246" s="95"/>
      <c r="D246" s="96"/>
      <c r="H246" s="53" t="s">
        <v>368</v>
      </c>
      <c r="I246" s="62" t="s">
        <v>369</v>
      </c>
    </row>
    <row r="247" spans="2:9" ht="14.25" customHeight="1" x14ac:dyDescent="0.2">
      <c r="B247" s="94"/>
      <c r="C247" s="95"/>
      <c r="D247" s="96"/>
      <c r="H247" s="53" t="s">
        <v>368</v>
      </c>
      <c r="I247" s="62" t="s">
        <v>379</v>
      </c>
    </row>
    <row r="248" spans="2:9" ht="14.25" customHeight="1" x14ac:dyDescent="0.2">
      <c r="B248" s="94"/>
      <c r="C248" s="95"/>
      <c r="D248" s="96"/>
      <c r="H248" s="53" t="s">
        <v>368</v>
      </c>
      <c r="I248" s="62" t="s">
        <v>379</v>
      </c>
    </row>
    <row r="249" spans="2:9" ht="14.25" customHeight="1" x14ac:dyDescent="0.2">
      <c r="B249" s="94"/>
      <c r="C249" s="95"/>
      <c r="D249" s="96"/>
      <c r="H249" s="53" t="s">
        <v>368</v>
      </c>
      <c r="I249" s="62" t="s">
        <v>379</v>
      </c>
    </row>
    <row r="250" spans="2:9" ht="14.25" customHeight="1" x14ac:dyDescent="0.2">
      <c r="B250" s="94"/>
      <c r="C250" s="95"/>
      <c r="D250" s="96"/>
      <c r="H250" s="53" t="s">
        <v>368</v>
      </c>
      <c r="I250" s="62" t="s">
        <v>379</v>
      </c>
    </row>
    <row r="251" spans="2:9" ht="14.25" customHeight="1" x14ac:dyDescent="0.2">
      <c r="B251" s="94"/>
      <c r="C251" s="95"/>
      <c r="D251" s="96"/>
      <c r="H251" s="53" t="s">
        <v>368</v>
      </c>
      <c r="I251" s="62" t="s">
        <v>379</v>
      </c>
    </row>
    <row r="252" spans="2:9" ht="14.25" customHeight="1" x14ac:dyDescent="0.2">
      <c r="B252" s="94"/>
      <c r="C252" s="95"/>
      <c r="D252" s="96"/>
      <c r="H252" s="53" t="s">
        <v>368</v>
      </c>
      <c r="I252" s="62" t="s">
        <v>380</v>
      </c>
    </row>
    <row r="253" spans="2:9" ht="14.25" customHeight="1" x14ac:dyDescent="0.2">
      <c r="B253" s="94"/>
      <c r="C253" s="95"/>
      <c r="D253" s="96"/>
      <c r="H253" s="53" t="s">
        <v>368</v>
      </c>
      <c r="I253" s="62" t="s">
        <v>380</v>
      </c>
    </row>
    <row r="254" spans="2:9" ht="14.25" customHeight="1" x14ac:dyDescent="0.2">
      <c r="B254" s="94"/>
      <c r="C254" s="95"/>
      <c r="D254" s="96"/>
      <c r="H254" s="53" t="s">
        <v>381</v>
      </c>
      <c r="I254" s="62" t="s">
        <v>380</v>
      </c>
    </row>
    <row r="255" spans="2:9" ht="14.25" customHeight="1" x14ac:dyDescent="0.2">
      <c r="B255" s="94"/>
      <c r="C255" s="95"/>
      <c r="D255" s="96"/>
      <c r="H255" s="53" t="s">
        <v>368</v>
      </c>
      <c r="I255" s="62" t="s">
        <v>380</v>
      </c>
    </row>
    <row r="256" spans="2:9" ht="14.25" customHeight="1" x14ac:dyDescent="0.2">
      <c r="B256" s="94"/>
      <c r="C256" s="95"/>
      <c r="D256" s="96"/>
      <c r="H256" s="53" t="s">
        <v>368</v>
      </c>
      <c r="I256" s="62" t="s">
        <v>380</v>
      </c>
    </row>
    <row r="257" spans="2:9" ht="14.25" customHeight="1" x14ac:dyDescent="0.2">
      <c r="B257" s="94"/>
      <c r="C257" s="95"/>
      <c r="D257" s="96"/>
      <c r="H257" s="53" t="s">
        <v>381</v>
      </c>
      <c r="I257" s="62" t="s">
        <v>380</v>
      </c>
    </row>
    <row r="258" spans="2:9" ht="14.25" customHeight="1" x14ac:dyDescent="0.2">
      <c r="B258" s="94"/>
      <c r="C258" s="95"/>
      <c r="D258" s="96"/>
      <c r="H258" s="53"/>
      <c r="I258" s="62"/>
    </row>
    <row r="259" spans="2:9" ht="14.25" customHeight="1" x14ac:dyDescent="0.2">
      <c r="B259" s="94"/>
      <c r="C259" s="95"/>
      <c r="D259" s="96"/>
      <c r="H259" s="53" t="s">
        <v>382</v>
      </c>
      <c r="I259" s="62"/>
    </row>
    <row r="260" spans="2:9" ht="14.25" customHeight="1" x14ac:dyDescent="0.2">
      <c r="B260" s="94"/>
      <c r="C260" s="95"/>
      <c r="D260" s="96"/>
      <c r="H260" s="53" t="s">
        <v>382</v>
      </c>
      <c r="I260" s="62" t="s">
        <v>13</v>
      </c>
    </row>
    <row r="261" spans="2:9" ht="14.25" customHeight="1" x14ac:dyDescent="0.2">
      <c r="B261" s="94"/>
      <c r="C261" s="95"/>
      <c r="D261" s="96"/>
      <c r="H261" s="53" t="s">
        <v>382</v>
      </c>
      <c r="I261" s="62" t="s">
        <v>13</v>
      </c>
    </row>
    <row r="262" spans="2:9" ht="14.25" customHeight="1" x14ac:dyDescent="0.2">
      <c r="B262" s="94"/>
      <c r="C262" s="95"/>
      <c r="D262" s="96"/>
      <c r="H262" s="53" t="s">
        <v>382</v>
      </c>
      <c r="I262" s="62" t="s">
        <v>13</v>
      </c>
    </row>
    <row r="263" spans="2:9" ht="14.25" customHeight="1" x14ac:dyDescent="0.2">
      <c r="B263" s="94"/>
      <c r="C263" s="95"/>
      <c r="D263" s="96"/>
      <c r="H263" s="53" t="s">
        <v>382</v>
      </c>
      <c r="I263" s="62" t="s">
        <v>13</v>
      </c>
    </row>
    <row r="264" spans="2:9" ht="14.25" customHeight="1" x14ac:dyDescent="0.2">
      <c r="B264" s="94"/>
      <c r="C264" s="95"/>
      <c r="D264" s="96"/>
      <c r="H264" s="53" t="s">
        <v>382</v>
      </c>
      <c r="I264" s="62" t="s">
        <v>13</v>
      </c>
    </row>
    <row r="265" spans="2:9" ht="14.25" customHeight="1" x14ac:dyDescent="0.2">
      <c r="B265" s="94"/>
      <c r="C265" s="95"/>
      <c r="D265" s="96"/>
      <c r="H265" s="53" t="s">
        <v>382</v>
      </c>
      <c r="I265" s="62" t="s">
        <v>390</v>
      </c>
    </row>
    <row r="266" spans="2:9" ht="14.25" customHeight="1" x14ac:dyDescent="0.2">
      <c r="B266" s="94"/>
      <c r="C266" s="95"/>
      <c r="D266" s="96"/>
      <c r="H266" s="53" t="s">
        <v>382</v>
      </c>
      <c r="I266" s="62" t="s">
        <v>390</v>
      </c>
    </row>
    <row r="267" spans="2:9" ht="14.25" customHeight="1" x14ac:dyDescent="0.2">
      <c r="B267" s="94"/>
      <c r="C267" s="95"/>
      <c r="D267" s="96"/>
      <c r="H267" s="53" t="s">
        <v>382</v>
      </c>
      <c r="I267" s="62" t="s">
        <v>13</v>
      </c>
    </row>
    <row r="268" spans="2:9" ht="14.25" customHeight="1" x14ac:dyDescent="0.2">
      <c r="B268" s="94"/>
      <c r="C268" s="95"/>
      <c r="D268" s="96"/>
      <c r="H268" s="53" t="s">
        <v>382</v>
      </c>
      <c r="I268" s="62"/>
    </row>
    <row r="269" spans="2:9" ht="14.25" customHeight="1" x14ac:dyDescent="0.2">
      <c r="B269" s="94"/>
      <c r="C269" s="95"/>
      <c r="D269" s="96"/>
      <c r="H269" s="53" t="s">
        <v>382</v>
      </c>
      <c r="I269" s="62" t="s">
        <v>391</v>
      </c>
    </row>
    <row r="270" spans="2:9" ht="14.25" customHeight="1" x14ac:dyDescent="0.2">
      <c r="B270" s="94"/>
      <c r="C270" s="95"/>
      <c r="D270" s="96"/>
      <c r="H270" s="53" t="s">
        <v>382</v>
      </c>
      <c r="I270" s="62" t="s">
        <v>391</v>
      </c>
    </row>
    <row r="271" spans="2:9" ht="14.25" customHeight="1" x14ac:dyDescent="0.2">
      <c r="B271" s="94"/>
      <c r="C271" s="95"/>
      <c r="D271" s="96"/>
      <c r="H271" s="53" t="s">
        <v>382</v>
      </c>
      <c r="I271" s="62" t="s">
        <v>392</v>
      </c>
    </row>
    <row r="272" spans="2:9" ht="14.25" customHeight="1" x14ac:dyDescent="0.2">
      <c r="B272" s="94"/>
      <c r="C272" s="95"/>
      <c r="D272" s="96"/>
      <c r="H272" s="53" t="s">
        <v>382</v>
      </c>
      <c r="I272" s="62" t="s">
        <v>392</v>
      </c>
    </row>
    <row r="273" spans="2:9" ht="14.25" customHeight="1" x14ac:dyDescent="0.2">
      <c r="B273" s="94"/>
      <c r="C273" s="95"/>
      <c r="D273" s="96"/>
      <c r="H273" s="53" t="s">
        <v>368</v>
      </c>
      <c r="I273" s="62"/>
    </row>
    <row r="274" spans="2:9" ht="14.25" customHeight="1" x14ac:dyDescent="0.2">
      <c r="B274" s="94"/>
      <c r="C274" s="95"/>
      <c r="D274" s="96"/>
      <c r="H274" s="53" t="s">
        <v>368</v>
      </c>
      <c r="I274" s="62" t="s">
        <v>335</v>
      </c>
    </row>
    <row r="275" spans="2:9" ht="14.25" customHeight="1" x14ac:dyDescent="0.2">
      <c r="B275" s="94"/>
      <c r="C275" s="95"/>
      <c r="D275" s="96"/>
      <c r="H275" s="53" t="s">
        <v>368</v>
      </c>
      <c r="I275" s="62" t="s">
        <v>335</v>
      </c>
    </row>
    <row r="276" spans="2:9" ht="14.25" customHeight="1" x14ac:dyDescent="0.2">
      <c r="B276" s="94"/>
      <c r="C276" s="95"/>
      <c r="D276" s="96"/>
      <c r="H276" s="53" t="s">
        <v>368</v>
      </c>
      <c r="I276" s="62" t="s">
        <v>335</v>
      </c>
    </row>
    <row r="277" spans="2:9" ht="14.25" customHeight="1" x14ac:dyDescent="0.2">
      <c r="B277" s="94"/>
      <c r="C277" s="95"/>
      <c r="D277" s="96"/>
      <c r="H277" s="53" t="s">
        <v>368</v>
      </c>
      <c r="I277" s="62" t="s">
        <v>335</v>
      </c>
    </row>
    <row r="278" spans="2:9" ht="14.25" customHeight="1" x14ac:dyDescent="0.2">
      <c r="B278" s="94"/>
      <c r="C278" s="95"/>
      <c r="D278" s="96"/>
      <c r="H278" s="53" t="s">
        <v>368</v>
      </c>
      <c r="I278" s="62" t="s">
        <v>383</v>
      </c>
    </row>
    <row r="279" spans="2:9" ht="14.25" customHeight="1" x14ac:dyDescent="0.2">
      <c r="B279" s="94"/>
      <c r="C279" s="95"/>
      <c r="D279" s="96"/>
      <c r="H279" s="53" t="s">
        <v>368</v>
      </c>
      <c r="I279" s="62" t="s">
        <v>383</v>
      </c>
    </row>
    <row r="280" spans="2:9" ht="14.25" customHeight="1" x14ac:dyDescent="0.2">
      <c r="B280" s="94"/>
      <c r="C280" s="95"/>
      <c r="D280" s="96"/>
      <c r="H280" s="53" t="s">
        <v>368</v>
      </c>
      <c r="I280" s="62" t="s">
        <v>383</v>
      </c>
    </row>
    <row r="281" spans="2:9" ht="14.25" customHeight="1" x14ac:dyDescent="0.2">
      <c r="B281" s="94"/>
      <c r="C281" s="95"/>
      <c r="D281" s="96"/>
      <c r="H281" s="53" t="s">
        <v>368</v>
      </c>
      <c r="I281" s="62" t="s">
        <v>383</v>
      </c>
    </row>
    <row r="282" spans="2:9" ht="14.25" customHeight="1" x14ac:dyDescent="0.2">
      <c r="B282" s="94"/>
      <c r="C282" s="95"/>
      <c r="D282" s="96"/>
      <c r="H282" s="53" t="s">
        <v>368</v>
      </c>
      <c r="I282" s="62" t="s">
        <v>383</v>
      </c>
    </row>
    <row r="283" spans="2:9" ht="14.25" customHeight="1" x14ac:dyDescent="0.2">
      <c r="B283" s="94"/>
      <c r="C283" s="95"/>
      <c r="D283" s="96"/>
      <c r="H283" s="53" t="s">
        <v>368</v>
      </c>
      <c r="I283" s="62" t="s">
        <v>383</v>
      </c>
    </row>
    <row r="284" spans="2:9" ht="14.25" customHeight="1" x14ac:dyDescent="0.2">
      <c r="B284" s="94"/>
      <c r="C284" s="95"/>
      <c r="D284" s="96"/>
      <c r="H284" s="53" t="s">
        <v>368</v>
      </c>
      <c r="I284" s="62" t="s">
        <v>383</v>
      </c>
    </row>
    <row r="285" spans="2:9" ht="14.25" customHeight="1" x14ac:dyDescent="0.2">
      <c r="B285" s="94"/>
      <c r="C285" s="95"/>
      <c r="D285" s="96"/>
      <c r="H285" s="53" t="s">
        <v>368</v>
      </c>
      <c r="I285" s="62" t="s">
        <v>383</v>
      </c>
    </row>
    <row r="286" spans="2:9" ht="14.25" customHeight="1" x14ac:dyDescent="0.2">
      <c r="B286" s="94"/>
      <c r="C286" s="95"/>
      <c r="D286" s="96"/>
      <c r="H286" s="53" t="s">
        <v>368</v>
      </c>
      <c r="I286" s="62" t="s">
        <v>383</v>
      </c>
    </row>
    <row r="287" spans="2:9" ht="14.25" customHeight="1" x14ac:dyDescent="0.2">
      <c r="B287" s="94"/>
      <c r="C287" s="95"/>
      <c r="D287" s="96"/>
      <c r="H287" s="53" t="s">
        <v>368</v>
      </c>
      <c r="I287" s="62" t="s">
        <v>383</v>
      </c>
    </row>
    <row r="288" spans="2:9" ht="14.25" customHeight="1" x14ac:dyDescent="0.2">
      <c r="B288" s="94"/>
      <c r="C288" s="95"/>
      <c r="D288" s="96"/>
      <c r="H288" s="53" t="s">
        <v>368</v>
      </c>
      <c r="I288" s="62" t="s">
        <v>383</v>
      </c>
    </row>
    <row r="289" spans="2:9" ht="14.25" customHeight="1" x14ac:dyDescent="0.2">
      <c r="B289" s="94"/>
      <c r="C289" s="95"/>
      <c r="D289" s="96"/>
      <c r="H289" s="53" t="s">
        <v>368</v>
      </c>
      <c r="I289" s="62" t="s">
        <v>383</v>
      </c>
    </row>
    <row r="290" spans="2:9" ht="14.25" customHeight="1" x14ac:dyDescent="0.2">
      <c r="B290" s="94"/>
      <c r="C290" s="95"/>
      <c r="D290" s="96"/>
      <c r="H290" s="53" t="s">
        <v>368</v>
      </c>
      <c r="I290" s="62" t="s">
        <v>383</v>
      </c>
    </row>
    <row r="291" spans="2:9" ht="14.25" customHeight="1" x14ac:dyDescent="0.2">
      <c r="B291" s="94"/>
      <c r="C291" s="95"/>
      <c r="D291" s="96"/>
      <c r="H291" s="53" t="s">
        <v>368</v>
      </c>
      <c r="I291" s="62" t="s">
        <v>383</v>
      </c>
    </row>
    <row r="292" spans="2:9" ht="14.25" customHeight="1" x14ac:dyDescent="0.2">
      <c r="B292" s="94"/>
      <c r="C292" s="95"/>
      <c r="D292" s="96"/>
      <c r="H292" s="53" t="s">
        <v>368</v>
      </c>
      <c r="I292" s="62" t="s">
        <v>383</v>
      </c>
    </row>
    <row r="293" spans="2:9" ht="14.25" customHeight="1" x14ac:dyDescent="0.2">
      <c r="B293" s="97"/>
      <c r="C293" s="95"/>
      <c r="D293" s="96"/>
      <c r="H293" s="30" t="s">
        <v>368</v>
      </c>
      <c r="I293" s="93" t="s">
        <v>383</v>
      </c>
    </row>
    <row r="294" spans="2:9" ht="14.25" customHeight="1" x14ac:dyDescent="0.2">
      <c r="B294" s="94"/>
      <c r="C294" s="95"/>
      <c r="D294" s="96"/>
      <c r="H294" s="53" t="s">
        <v>368</v>
      </c>
      <c r="I294" s="62" t="s">
        <v>384</v>
      </c>
    </row>
    <row r="295" spans="2:9" ht="14.25" customHeight="1" x14ac:dyDescent="0.2">
      <c r="B295" s="94"/>
      <c r="C295" s="95"/>
      <c r="D295" s="96"/>
      <c r="H295" s="53" t="s">
        <v>368</v>
      </c>
      <c r="I295" s="62" t="s">
        <v>384</v>
      </c>
    </row>
    <row r="296" spans="2:9" ht="14.25" customHeight="1" x14ac:dyDescent="0.2">
      <c r="B296" s="94"/>
      <c r="C296" s="95"/>
      <c r="D296" s="96"/>
      <c r="H296" s="53" t="s">
        <v>368</v>
      </c>
      <c r="I296" s="62" t="s">
        <v>384</v>
      </c>
    </row>
    <row r="297" spans="2:9" ht="14.25" customHeight="1" x14ac:dyDescent="0.2">
      <c r="B297" s="94"/>
      <c r="C297" s="95"/>
      <c r="D297" s="96"/>
      <c r="H297" s="53" t="s">
        <v>368</v>
      </c>
      <c r="I297" s="62" t="s">
        <v>384</v>
      </c>
    </row>
    <row r="298" spans="2:9" ht="14.25" customHeight="1" x14ac:dyDescent="0.2">
      <c r="B298" s="94"/>
      <c r="C298" s="95"/>
      <c r="D298" s="96"/>
      <c r="H298" s="53" t="s">
        <v>368</v>
      </c>
      <c r="I298" s="62" t="s">
        <v>384</v>
      </c>
    </row>
    <row r="299" spans="2:9" ht="14.25" customHeight="1" x14ac:dyDescent="0.2">
      <c r="B299" s="94"/>
      <c r="C299" s="95"/>
      <c r="D299" s="96"/>
      <c r="H299" s="53" t="s">
        <v>368</v>
      </c>
      <c r="I299" s="62" t="s">
        <v>384</v>
      </c>
    </row>
    <row r="300" spans="2:9" ht="14.25" customHeight="1" x14ac:dyDescent="0.2">
      <c r="B300" s="94"/>
      <c r="C300" s="95"/>
      <c r="D300" s="96"/>
      <c r="H300" s="53" t="s">
        <v>368</v>
      </c>
      <c r="I300" s="62" t="s">
        <v>384</v>
      </c>
    </row>
    <row r="301" spans="2:9" ht="14.25" customHeight="1" x14ac:dyDescent="0.2">
      <c r="B301" s="94"/>
      <c r="C301" s="95"/>
      <c r="D301" s="96"/>
      <c r="H301" s="53" t="s">
        <v>368</v>
      </c>
      <c r="I301" s="62" t="s">
        <v>384</v>
      </c>
    </row>
    <row r="302" spans="2:9" ht="14.25" customHeight="1" x14ac:dyDescent="0.2">
      <c r="B302" s="94"/>
      <c r="C302" s="95"/>
      <c r="D302" s="96"/>
      <c r="H302" s="53" t="s">
        <v>368</v>
      </c>
      <c r="I302" s="62" t="s">
        <v>384</v>
      </c>
    </row>
    <row r="303" spans="2:9" ht="14.25" customHeight="1" x14ac:dyDescent="0.2">
      <c r="B303" s="94"/>
      <c r="C303" s="95"/>
      <c r="D303" s="96"/>
      <c r="H303" s="53" t="s">
        <v>368</v>
      </c>
      <c r="I303" s="62" t="s">
        <v>384</v>
      </c>
    </row>
    <row r="304" spans="2:9" ht="14.25" customHeight="1" x14ac:dyDescent="0.2">
      <c r="B304" s="94"/>
      <c r="C304" s="95"/>
      <c r="D304" s="96"/>
      <c r="H304" s="53" t="s">
        <v>368</v>
      </c>
      <c r="I304" s="62" t="s">
        <v>384</v>
      </c>
    </row>
    <row r="305" spans="2:9" ht="14.25" customHeight="1" x14ac:dyDescent="0.2">
      <c r="B305" s="94"/>
      <c r="C305" s="95"/>
      <c r="D305" s="96"/>
      <c r="H305" s="53" t="s">
        <v>368</v>
      </c>
      <c r="I305" s="62" t="s">
        <v>384</v>
      </c>
    </row>
    <row r="306" spans="2:9" ht="14.25" customHeight="1" x14ac:dyDescent="0.2">
      <c r="B306" s="94"/>
      <c r="C306" s="95"/>
      <c r="D306" s="96"/>
      <c r="H306" s="53" t="s">
        <v>368</v>
      </c>
      <c r="I306" s="62" t="s">
        <v>384</v>
      </c>
    </row>
    <row r="307" spans="2:9" ht="14.25" customHeight="1" x14ac:dyDescent="0.2">
      <c r="B307" s="94"/>
      <c r="C307" s="95"/>
      <c r="D307" s="96"/>
      <c r="H307" s="53" t="s">
        <v>368</v>
      </c>
      <c r="I307" s="62" t="s">
        <v>384</v>
      </c>
    </row>
    <row r="308" spans="2:9" ht="14.25" customHeight="1" x14ac:dyDescent="0.2">
      <c r="B308" s="94"/>
      <c r="C308" s="95"/>
      <c r="D308" s="96"/>
      <c r="H308" s="53" t="s">
        <v>368</v>
      </c>
      <c r="I308" s="62" t="s">
        <v>173</v>
      </c>
    </row>
    <row r="309" spans="2:9" ht="14.25" customHeight="1" x14ac:dyDescent="0.2">
      <c r="B309" s="94"/>
      <c r="C309" s="95"/>
      <c r="D309" s="96"/>
      <c r="H309" s="53" t="s">
        <v>368</v>
      </c>
      <c r="I309" s="62" t="s">
        <v>173</v>
      </c>
    </row>
    <row r="310" spans="2:9" ht="14.25" customHeight="1" x14ac:dyDescent="0.2">
      <c r="B310" s="94"/>
      <c r="C310" s="95"/>
      <c r="D310" s="96"/>
      <c r="H310" s="53" t="s">
        <v>368</v>
      </c>
      <c r="I310" s="62" t="s">
        <v>173</v>
      </c>
    </row>
    <row r="311" spans="2:9" ht="14.25" customHeight="1" x14ac:dyDescent="0.2">
      <c r="B311" s="94"/>
      <c r="C311" s="95"/>
      <c r="D311" s="96"/>
      <c r="H311" s="53" t="s">
        <v>368</v>
      </c>
      <c r="I311" s="62" t="s">
        <v>173</v>
      </c>
    </row>
    <row r="312" spans="2:9" ht="14.25" customHeight="1" x14ac:dyDescent="0.2">
      <c r="B312" s="94"/>
      <c r="C312" s="95"/>
      <c r="D312" s="96"/>
      <c r="H312" s="53" t="s">
        <v>368</v>
      </c>
      <c r="I312" s="62" t="s">
        <v>173</v>
      </c>
    </row>
    <row r="313" spans="2:9" ht="14.25" customHeight="1" x14ac:dyDescent="0.2">
      <c r="B313" s="94"/>
      <c r="C313" s="95"/>
      <c r="D313" s="96"/>
      <c r="H313" s="53" t="s">
        <v>368</v>
      </c>
      <c r="I313" s="62" t="s">
        <v>173</v>
      </c>
    </row>
    <row r="314" spans="2:9" ht="14.25" customHeight="1" x14ac:dyDescent="0.2">
      <c r="B314" s="94"/>
      <c r="C314" s="95"/>
      <c r="D314" s="96"/>
      <c r="H314" s="53" t="s">
        <v>368</v>
      </c>
      <c r="I314" s="62" t="s">
        <v>173</v>
      </c>
    </row>
    <row r="315" spans="2:9" ht="14.25" customHeight="1" x14ac:dyDescent="0.2">
      <c r="B315" s="94"/>
      <c r="C315" s="95"/>
      <c r="D315" s="96"/>
      <c r="H315" s="53" t="s">
        <v>368</v>
      </c>
      <c r="I315" s="62" t="s">
        <v>173</v>
      </c>
    </row>
    <row r="316" spans="2:9" ht="14.25" customHeight="1" x14ac:dyDescent="0.2">
      <c r="B316" s="94"/>
      <c r="C316" s="95"/>
      <c r="D316" s="96"/>
      <c r="H316" s="53" t="s">
        <v>368</v>
      </c>
      <c r="I316" s="62" t="s">
        <v>173</v>
      </c>
    </row>
    <row r="317" spans="2:9" ht="14.25" customHeight="1" x14ac:dyDescent="0.2">
      <c r="B317" s="94"/>
      <c r="C317" s="95"/>
      <c r="D317" s="96"/>
      <c r="H317" s="53" t="s">
        <v>368</v>
      </c>
      <c r="I317" s="62" t="s">
        <v>173</v>
      </c>
    </row>
    <row r="318" spans="2:9" ht="14.25" customHeight="1" x14ac:dyDescent="0.2">
      <c r="B318" s="94"/>
      <c r="C318" s="95"/>
      <c r="D318" s="96"/>
      <c r="H318" s="53" t="s">
        <v>368</v>
      </c>
      <c r="I318" s="62" t="s">
        <v>173</v>
      </c>
    </row>
    <row r="319" spans="2:9" ht="14.25" customHeight="1" x14ac:dyDescent="0.2">
      <c r="B319" s="94"/>
      <c r="C319" s="95"/>
      <c r="D319" s="96"/>
      <c r="H319" s="53" t="s">
        <v>368</v>
      </c>
      <c r="I319" s="62" t="s">
        <v>173</v>
      </c>
    </row>
    <row r="320" spans="2:9" ht="14.25" customHeight="1" x14ac:dyDescent="0.2">
      <c r="B320" s="94"/>
      <c r="C320" s="95"/>
      <c r="D320" s="96"/>
      <c r="H320" s="53" t="s">
        <v>368</v>
      </c>
      <c r="I320" s="62" t="s">
        <v>173</v>
      </c>
    </row>
    <row r="321" spans="2:9" ht="14.25" customHeight="1" x14ac:dyDescent="0.2">
      <c r="B321" s="94"/>
      <c r="C321" s="95"/>
      <c r="D321" s="96"/>
      <c r="H321" s="53" t="s">
        <v>368</v>
      </c>
      <c r="I321" s="62" t="s">
        <v>385</v>
      </c>
    </row>
    <row r="322" spans="2:9" ht="14.25" customHeight="1" x14ac:dyDescent="0.2">
      <c r="B322" s="94"/>
      <c r="C322" s="95"/>
      <c r="D322" s="96"/>
      <c r="H322" s="53" t="s">
        <v>368</v>
      </c>
      <c r="I322" s="62" t="s">
        <v>385</v>
      </c>
    </row>
    <row r="323" spans="2:9" ht="14.25" customHeight="1" x14ac:dyDescent="0.2">
      <c r="B323" s="94"/>
      <c r="C323" s="95"/>
      <c r="D323" s="96"/>
      <c r="H323" s="53" t="s">
        <v>368</v>
      </c>
      <c r="I323" s="62" t="s">
        <v>385</v>
      </c>
    </row>
    <row r="324" spans="2:9" ht="14.25" customHeight="1" x14ac:dyDescent="0.2">
      <c r="B324" s="94"/>
      <c r="C324" s="95"/>
      <c r="D324" s="96"/>
      <c r="H324" s="53" t="s">
        <v>368</v>
      </c>
      <c r="I324" s="62" t="s">
        <v>385</v>
      </c>
    </row>
    <row r="325" spans="2:9" ht="14.25" customHeight="1" x14ac:dyDescent="0.2">
      <c r="B325" s="94"/>
      <c r="C325" s="95"/>
      <c r="D325" s="96"/>
      <c r="H325" s="53" t="s">
        <v>368</v>
      </c>
      <c r="I325" s="62" t="s">
        <v>385</v>
      </c>
    </row>
    <row r="326" spans="2:9" ht="14.25" customHeight="1" x14ac:dyDescent="0.2">
      <c r="B326" s="94"/>
      <c r="C326" s="95"/>
      <c r="D326" s="96"/>
      <c r="H326" s="53" t="s">
        <v>368</v>
      </c>
      <c r="I326" s="62" t="s">
        <v>385</v>
      </c>
    </row>
    <row r="327" spans="2:9" ht="14.25" customHeight="1" x14ac:dyDescent="0.2">
      <c r="B327" s="94"/>
      <c r="C327" s="95"/>
      <c r="D327" s="96"/>
      <c r="H327" s="53" t="s">
        <v>368</v>
      </c>
      <c r="I327" s="62" t="s">
        <v>385</v>
      </c>
    </row>
    <row r="328" spans="2:9" ht="14.25" customHeight="1" x14ac:dyDescent="0.2">
      <c r="B328" s="94"/>
      <c r="C328" s="95"/>
      <c r="D328" s="96"/>
      <c r="H328" s="53" t="s">
        <v>368</v>
      </c>
      <c r="I328" s="62" t="s">
        <v>385</v>
      </c>
    </row>
    <row r="329" spans="2:9" ht="14.25" customHeight="1" x14ac:dyDescent="0.2">
      <c r="B329" s="94"/>
      <c r="C329" s="95"/>
      <c r="D329" s="96"/>
      <c r="H329" s="53" t="s">
        <v>368</v>
      </c>
      <c r="I329" s="62" t="s">
        <v>385</v>
      </c>
    </row>
    <row r="330" spans="2:9" ht="14.25" customHeight="1" x14ac:dyDescent="0.2">
      <c r="B330" s="94"/>
      <c r="C330" s="95"/>
      <c r="D330" s="96"/>
      <c r="H330" s="53" t="s">
        <v>368</v>
      </c>
      <c r="I330" s="62" t="s">
        <v>385</v>
      </c>
    </row>
    <row r="331" spans="2:9" ht="14.25" customHeight="1" x14ac:dyDescent="0.2">
      <c r="B331" s="94"/>
      <c r="C331" s="95"/>
      <c r="D331" s="96"/>
      <c r="H331" s="53" t="s">
        <v>368</v>
      </c>
      <c r="I331" s="62" t="s">
        <v>385</v>
      </c>
    </row>
    <row r="332" spans="2:9" ht="14.25" customHeight="1" x14ac:dyDescent="0.2">
      <c r="B332" s="94"/>
      <c r="C332" s="95"/>
      <c r="D332" s="96"/>
      <c r="H332" s="53" t="s">
        <v>368</v>
      </c>
      <c r="I332" s="62" t="s">
        <v>385</v>
      </c>
    </row>
    <row r="333" spans="2:9" ht="14.25" customHeight="1" x14ac:dyDescent="0.2">
      <c r="B333" s="94"/>
      <c r="C333" s="95"/>
      <c r="D333" s="96"/>
      <c r="H333" s="53" t="s">
        <v>368</v>
      </c>
      <c r="I333" s="62" t="s">
        <v>385</v>
      </c>
    </row>
    <row r="334" spans="2:9" ht="14.25" customHeight="1" x14ac:dyDescent="0.2">
      <c r="B334" s="94"/>
      <c r="C334" s="95"/>
      <c r="D334" s="96"/>
      <c r="H334" s="53" t="s">
        <v>368</v>
      </c>
      <c r="I334" s="62" t="s">
        <v>385</v>
      </c>
    </row>
    <row r="335" spans="2:9" ht="14.25" customHeight="1" x14ac:dyDescent="0.2">
      <c r="B335" s="94"/>
      <c r="C335" s="95"/>
      <c r="D335" s="96"/>
      <c r="H335" s="53" t="s">
        <v>368</v>
      </c>
      <c r="I335" s="62" t="s">
        <v>386</v>
      </c>
    </row>
    <row r="336" spans="2:9" ht="14.25" customHeight="1" x14ac:dyDescent="0.2">
      <c r="B336" s="94"/>
      <c r="C336" s="95"/>
      <c r="D336" s="96"/>
      <c r="H336" s="53" t="s">
        <v>368</v>
      </c>
      <c r="I336" s="62" t="s">
        <v>386</v>
      </c>
    </row>
    <row r="337" spans="2:9" ht="14.25" customHeight="1" x14ac:dyDescent="0.2">
      <c r="B337" s="94"/>
      <c r="C337" s="95"/>
      <c r="D337" s="96"/>
      <c r="H337" s="53" t="s">
        <v>368</v>
      </c>
      <c r="I337" s="62" t="s">
        <v>386</v>
      </c>
    </row>
    <row r="338" spans="2:9" ht="14.25" customHeight="1" x14ac:dyDescent="0.2">
      <c r="B338" s="94"/>
      <c r="C338" s="95"/>
      <c r="D338" s="96"/>
      <c r="H338" s="53" t="s">
        <v>368</v>
      </c>
      <c r="I338" s="62" t="s">
        <v>386</v>
      </c>
    </row>
    <row r="339" spans="2:9" ht="14.25" customHeight="1" x14ac:dyDescent="0.2">
      <c r="B339" s="94"/>
      <c r="C339" s="95"/>
      <c r="D339" s="96"/>
      <c r="H339" s="53" t="s">
        <v>368</v>
      </c>
      <c r="I339" s="62" t="s">
        <v>386</v>
      </c>
    </row>
    <row r="340" spans="2:9" ht="14.25" customHeight="1" x14ac:dyDescent="0.2">
      <c r="B340" s="94"/>
      <c r="C340" s="95"/>
      <c r="D340" s="96"/>
      <c r="H340" s="53" t="s">
        <v>368</v>
      </c>
      <c r="I340" s="62" t="s">
        <v>386</v>
      </c>
    </row>
    <row r="341" spans="2:9" ht="14.25" customHeight="1" x14ac:dyDescent="0.2">
      <c r="B341" s="94"/>
      <c r="C341" s="95"/>
      <c r="D341" s="96"/>
      <c r="H341" s="53" t="s">
        <v>368</v>
      </c>
      <c r="I341" s="62" t="s">
        <v>387</v>
      </c>
    </row>
    <row r="342" spans="2:9" ht="14.25" customHeight="1" x14ac:dyDescent="0.2">
      <c r="B342" s="94"/>
      <c r="C342" s="95"/>
      <c r="D342" s="96"/>
      <c r="H342" s="53" t="s">
        <v>368</v>
      </c>
      <c r="I342" s="62" t="s">
        <v>387</v>
      </c>
    </row>
    <row r="343" spans="2:9" ht="14.25" customHeight="1" x14ac:dyDescent="0.2">
      <c r="B343" s="97"/>
      <c r="C343" s="95"/>
      <c r="D343" s="96"/>
      <c r="H343" s="30" t="s">
        <v>368</v>
      </c>
      <c r="I343" s="93" t="s">
        <v>388</v>
      </c>
    </row>
    <row r="344" spans="2:9" ht="14.25" customHeight="1" x14ac:dyDescent="0.2">
      <c r="B344" s="94"/>
      <c r="C344" s="95"/>
      <c r="D344" s="96"/>
      <c r="H344" s="53" t="s">
        <v>368</v>
      </c>
      <c r="I344" s="62" t="s">
        <v>388</v>
      </c>
    </row>
    <row r="345" spans="2:9" ht="14.25" customHeight="1" x14ac:dyDescent="0.2">
      <c r="B345" s="94"/>
      <c r="C345" s="95"/>
      <c r="D345" s="96"/>
      <c r="H345" s="53" t="s">
        <v>368</v>
      </c>
      <c r="I345" s="62" t="s">
        <v>388</v>
      </c>
    </row>
    <row r="346" spans="2:9" ht="14.25" customHeight="1" x14ac:dyDescent="0.2">
      <c r="B346" s="94"/>
      <c r="C346" s="95"/>
      <c r="D346" s="96"/>
      <c r="H346" s="53" t="s">
        <v>368</v>
      </c>
      <c r="I346" s="62" t="s">
        <v>388</v>
      </c>
    </row>
    <row r="347" spans="2:9" ht="14.25" customHeight="1" x14ac:dyDescent="0.2">
      <c r="B347" s="94"/>
      <c r="C347" s="95"/>
      <c r="D347" s="96"/>
      <c r="H347" s="53" t="s">
        <v>368</v>
      </c>
      <c r="I347" s="62" t="s">
        <v>388</v>
      </c>
    </row>
    <row r="348" spans="2:9" ht="14.25" customHeight="1" x14ac:dyDescent="0.2">
      <c r="B348" s="94"/>
      <c r="C348" s="95"/>
      <c r="D348" s="96"/>
      <c r="H348" s="53" t="s">
        <v>368</v>
      </c>
      <c r="I348" s="62"/>
    </row>
    <row r="349" spans="2:9" ht="14.25" customHeight="1" x14ac:dyDescent="0.2">
      <c r="B349" s="94"/>
      <c r="C349" s="95"/>
      <c r="D349" s="96"/>
      <c r="H349" s="53" t="s">
        <v>368</v>
      </c>
      <c r="I349" s="62" t="s">
        <v>389</v>
      </c>
    </row>
    <row r="350" spans="2:9" ht="14.25" customHeight="1" x14ac:dyDescent="0.2">
      <c r="B350" s="94"/>
      <c r="C350" s="95"/>
      <c r="D350" s="96"/>
      <c r="H350" s="53" t="s">
        <v>368</v>
      </c>
      <c r="I350" s="62" t="s">
        <v>389</v>
      </c>
    </row>
    <row r="351" spans="2:9" ht="14.25" customHeight="1" x14ac:dyDescent="0.2">
      <c r="B351" s="94"/>
      <c r="C351" s="95"/>
      <c r="D351" s="96"/>
      <c r="H351" s="53" t="s">
        <v>368</v>
      </c>
      <c r="I351" s="62" t="s">
        <v>389</v>
      </c>
    </row>
    <row r="352" spans="2:9" ht="14.25" customHeight="1" x14ac:dyDescent="0.2">
      <c r="B352" s="94"/>
      <c r="C352" s="95"/>
      <c r="D352" s="96"/>
      <c r="H352" s="53" t="s">
        <v>368</v>
      </c>
      <c r="I352" s="62" t="s">
        <v>389</v>
      </c>
    </row>
    <row r="353" spans="2:9" ht="14.25" customHeight="1" x14ac:dyDescent="0.2">
      <c r="B353" s="94"/>
      <c r="C353" s="95"/>
      <c r="D353" s="96"/>
      <c r="H353" s="53" t="s">
        <v>368</v>
      </c>
      <c r="I353" s="62" t="s">
        <v>389</v>
      </c>
    </row>
    <row r="354" spans="2:9" ht="14.25" customHeight="1" x14ac:dyDescent="0.2">
      <c r="B354" s="94"/>
      <c r="C354" s="95"/>
      <c r="D354" s="96"/>
      <c r="H354" s="53" t="s">
        <v>368</v>
      </c>
      <c r="I354" s="62" t="s">
        <v>389</v>
      </c>
    </row>
    <row r="355" spans="2:9" ht="14.25" customHeight="1" x14ac:dyDescent="0.2">
      <c r="B355" s="94"/>
      <c r="C355" s="95"/>
      <c r="D355" s="96"/>
      <c r="H355" s="53" t="s">
        <v>368</v>
      </c>
      <c r="I355" s="62" t="s">
        <v>389</v>
      </c>
    </row>
    <row r="356" spans="2:9" ht="14.25" customHeight="1" x14ac:dyDescent="0.2">
      <c r="B356" s="94"/>
      <c r="C356" s="95"/>
      <c r="D356" s="96"/>
      <c r="H356" s="53" t="s">
        <v>368</v>
      </c>
      <c r="I356" s="62" t="s">
        <v>389</v>
      </c>
    </row>
    <row r="357" spans="2:9" ht="14.25" customHeight="1" x14ac:dyDescent="0.2">
      <c r="B357" s="94"/>
      <c r="C357" s="95"/>
      <c r="D357" s="96"/>
      <c r="H357" s="53" t="s">
        <v>368</v>
      </c>
      <c r="I357" s="62" t="s">
        <v>389</v>
      </c>
    </row>
    <row r="358" spans="2:9" ht="14.25" customHeight="1" x14ac:dyDescent="0.2">
      <c r="B358" s="94"/>
      <c r="C358" s="95"/>
      <c r="D358" s="96"/>
      <c r="H358" s="53" t="s">
        <v>368</v>
      </c>
      <c r="I358" s="62" t="s">
        <v>369</v>
      </c>
    </row>
    <row r="359" spans="2:9" ht="14.25" customHeight="1" x14ac:dyDescent="0.2">
      <c r="B359" s="94"/>
      <c r="C359" s="95"/>
      <c r="D359" s="96"/>
      <c r="H359" s="53" t="s">
        <v>368</v>
      </c>
      <c r="I359" s="62" t="s">
        <v>369</v>
      </c>
    </row>
    <row r="360" spans="2:9" ht="14.25" customHeight="1" x14ac:dyDescent="0.2">
      <c r="B360" s="94"/>
      <c r="C360" s="95"/>
      <c r="D360" s="96"/>
      <c r="H360" s="53" t="s">
        <v>368</v>
      </c>
      <c r="I360" s="62" t="s">
        <v>369</v>
      </c>
    </row>
    <row r="361" spans="2:9" ht="14.25" customHeight="1" x14ac:dyDescent="0.2">
      <c r="B361" s="94"/>
      <c r="C361" s="95"/>
      <c r="D361" s="96"/>
      <c r="H361" s="53" t="s">
        <v>368</v>
      </c>
      <c r="I361" s="62" t="s">
        <v>369</v>
      </c>
    </row>
    <row r="362" spans="2:9" ht="14.25" customHeight="1" x14ac:dyDescent="0.2">
      <c r="B362" s="94"/>
      <c r="C362" s="95"/>
      <c r="D362" s="96"/>
      <c r="H362" s="53" t="s">
        <v>368</v>
      </c>
      <c r="I362" s="62" t="s">
        <v>369</v>
      </c>
    </row>
    <row r="363" spans="2:9" ht="14.25" customHeight="1" x14ac:dyDescent="0.2">
      <c r="B363" s="94"/>
      <c r="C363" s="95"/>
      <c r="D363" s="96"/>
      <c r="H363" s="53" t="s">
        <v>368</v>
      </c>
      <c r="I363" s="62" t="s">
        <v>369</v>
      </c>
    </row>
    <row r="364" spans="2:9" ht="14.25" customHeight="1" x14ac:dyDescent="0.2">
      <c r="B364" s="94"/>
      <c r="C364" s="95"/>
      <c r="D364" s="96"/>
      <c r="H364" s="53" t="s">
        <v>368</v>
      </c>
      <c r="I364" s="62" t="s">
        <v>369</v>
      </c>
    </row>
    <row r="365" spans="2:9" ht="14.25" customHeight="1" x14ac:dyDescent="0.2">
      <c r="B365" s="94"/>
      <c r="C365" s="95"/>
      <c r="D365" s="96"/>
      <c r="H365" s="53" t="s">
        <v>368</v>
      </c>
      <c r="I365" s="62" t="s">
        <v>369</v>
      </c>
    </row>
    <row r="366" spans="2:9" ht="14.25" customHeight="1" x14ac:dyDescent="0.2">
      <c r="B366" s="94"/>
      <c r="C366" s="95"/>
      <c r="D366" s="96"/>
      <c r="H366" s="53" t="s">
        <v>368</v>
      </c>
      <c r="I366" s="62" t="s">
        <v>369</v>
      </c>
    </row>
    <row r="367" spans="2:9" ht="14.25" customHeight="1" x14ac:dyDescent="0.2">
      <c r="B367" s="94"/>
      <c r="C367" s="95"/>
      <c r="D367" s="96"/>
      <c r="H367" s="53" t="s">
        <v>368</v>
      </c>
      <c r="I367" s="62" t="s">
        <v>369</v>
      </c>
    </row>
    <row r="368" spans="2:9" ht="14.25" customHeight="1" x14ac:dyDescent="0.2">
      <c r="B368" s="94"/>
      <c r="C368" s="95"/>
      <c r="D368" s="96"/>
      <c r="H368" s="53" t="s">
        <v>368</v>
      </c>
      <c r="I368" s="62" t="s">
        <v>369</v>
      </c>
    </row>
    <row r="369" spans="2:9" ht="14.25" customHeight="1" x14ac:dyDescent="0.2">
      <c r="B369" s="94"/>
      <c r="C369" s="95"/>
      <c r="D369" s="96"/>
      <c r="H369" s="53" t="s">
        <v>368</v>
      </c>
      <c r="I369" s="62" t="s">
        <v>379</v>
      </c>
    </row>
    <row r="370" spans="2:9" ht="14.25" customHeight="1" x14ac:dyDescent="0.2">
      <c r="B370" s="94"/>
      <c r="C370" s="95"/>
      <c r="D370" s="96"/>
      <c r="H370" s="53" t="s">
        <v>368</v>
      </c>
      <c r="I370" s="62" t="s">
        <v>379</v>
      </c>
    </row>
    <row r="371" spans="2:9" ht="14.25" customHeight="1" x14ac:dyDescent="0.2">
      <c r="B371" s="94"/>
      <c r="C371" s="95"/>
      <c r="D371" s="96"/>
      <c r="H371" s="53" t="s">
        <v>368</v>
      </c>
      <c r="I371" s="62" t="s">
        <v>379</v>
      </c>
    </row>
    <row r="372" spans="2:9" ht="14.25" customHeight="1" x14ac:dyDescent="0.2">
      <c r="B372" s="94"/>
      <c r="C372" s="95"/>
      <c r="D372" s="96"/>
      <c r="H372" s="53" t="s">
        <v>368</v>
      </c>
      <c r="I372" s="62" t="s">
        <v>379</v>
      </c>
    </row>
    <row r="373" spans="2:9" ht="14.25" customHeight="1" x14ac:dyDescent="0.2">
      <c r="B373" s="94"/>
      <c r="C373" s="95"/>
      <c r="D373" s="96"/>
      <c r="H373" s="53" t="s">
        <v>368</v>
      </c>
      <c r="I373" s="62" t="s">
        <v>379</v>
      </c>
    </row>
    <row r="374" spans="2:9" ht="14.25" customHeight="1" x14ac:dyDescent="0.2">
      <c r="B374" s="94"/>
      <c r="C374" s="95"/>
      <c r="D374" s="96"/>
      <c r="H374" s="53" t="s">
        <v>368</v>
      </c>
      <c r="I374" s="62" t="s">
        <v>380</v>
      </c>
    </row>
    <row r="375" spans="2:9" ht="14.25" customHeight="1" x14ac:dyDescent="0.2">
      <c r="B375" s="94"/>
      <c r="C375" s="95"/>
      <c r="D375" s="96"/>
      <c r="H375" s="53" t="s">
        <v>368</v>
      </c>
      <c r="I375" s="62" t="s">
        <v>380</v>
      </c>
    </row>
    <row r="376" spans="2:9" ht="14.25" customHeight="1" x14ac:dyDescent="0.2">
      <c r="B376" s="94"/>
      <c r="C376" s="95"/>
      <c r="D376" s="96"/>
      <c r="H376" s="53" t="s">
        <v>381</v>
      </c>
      <c r="I376" s="62" t="s">
        <v>380</v>
      </c>
    </row>
    <row r="377" spans="2:9" ht="14.25" customHeight="1" x14ac:dyDescent="0.2">
      <c r="B377" s="94"/>
      <c r="C377" s="95"/>
      <c r="D377" s="96"/>
      <c r="H377" s="53" t="s">
        <v>368</v>
      </c>
      <c r="I377" s="62" t="s">
        <v>380</v>
      </c>
    </row>
    <row r="378" spans="2:9" ht="14.25" customHeight="1" x14ac:dyDescent="0.2">
      <c r="B378" s="94"/>
      <c r="C378" s="95"/>
      <c r="D378" s="96"/>
      <c r="H378" s="53" t="s">
        <v>368</v>
      </c>
      <c r="I378" s="62" t="s">
        <v>380</v>
      </c>
    </row>
    <row r="379" spans="2:9" ht="14.25" customHeight="1" x14ac:dyDescent="0.2">
      <c r="B379" s="94"/>
      <c r="C379" s="95"/>
      <c r="D379" s="96"/>
      <c r="H379" s="53" t="s">
        <v>381</v>
      </c>
      <c r="I379" s="62" t="s">
        <v>380</v>
      </c>
    </row>
    <row r="380" spans="2:9" ht="14.25" customHeight="1" x14ac:dyDescent="0.2">
      <c r="B380" s="94"/>
      <c r="C380" s="95"/>
      <c r="D380" s="96"/>
    </row>
  </sheetData>
  <autoFilter ref="B13:F134"/>
  <mergeCells count="10">
    <mergeCell ref="B136:F136"/>
    <mergeCell ref="B138:F138"/>
    <mergeCell ref="B140:F140"/>
    <mergeCell ref="B141:F141"/>
    <mergeCell ref="B1:J1"/>
    <mergeCell ref="B2:J2"/>
    <mergeCell ref="B5:C5"/>
    <mergeCell ref="B6:C6"/>
    <mergeCell ref="B7:C7"/>
    <mergeCell ref="B8:F8"/>
  </mergeCells>
  <pageMargins left="0.39370078740157483" right="0" top="0.35433070866141736" bottom="0.35433070866141736" header="0.31496062992125984" footer="0.31496062992125984"/>
  <pageSetup paperSize="9" fitToHeight="0" orientation="landscape" r:id="rId1"/>
  <rowBreaks count="1" manualBreakCount="1">
    <brk id="142" max="16383" man="1"/>
  </rowBreaks>
  <colBreaks count="1" manualBreakCount="1">
    <brk id="1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N185"/>
  <sheetViews>
    <sheetView view="pageBreakPreview" topLeftCell="A100" zoomScale="70" zoomScaleNormal="110" zoomScaleSheetLayoutView="70" workbookViewId="0">
      <selection activeCell="F164" sqref="F164"/>
    </sheetView>
  </sheetViews>
  <sheetFormatPr defaultRowHeight="12" x14ac:dyDescent="0.2"/>
  <cols>
    <col min="1" max="1" width="34" style="98" customWidth="1"/>
    <col min="2" max="2" width="44.85546875" style="98" customWidth="1"/>
    <col min="3" max="3" width="23.140625" style="147" hidden="1" customWidth="1"/>
    <col min="4" max="4" width="12.85546875" style="148" hidden="1" customWidth="1"/>
    <col min="5" max="5" width="18.42578125" style="148" customWidth="1"/>
    <col min="6" max="6" width="14.140625" style="200" customWidth="1"/>
    <col min="7" max="7" width="11.5703125" style="200" customWidth="1"/>
    <col min="8" max="8" width="17.85546875" style="200" customWidth="1"/>
    <col min="9" max="9" width="12.85546875" style="200" customWidth="1"/>
    <col min="10" max="10" width="18.85546875" style="200" customWidth="1"/>
    <col min="11" max="11" width="16.28515625" style="200" customWidth="1"/>
    <col min="12" max="12" width="12" style="200" customWidth="1"/>
    <col min="13" max="13" width="21.42578125" style="200" customWidth="1"/>
    <col min="14" max="14" width="17" style="200" customWidth="1"/>
    <col min="15" max="16" width="12.85546875" style="200" customWidth="1"/>
    <col min="17" max="17" width="12.7109375" style="200" customWidth="1"/>
    <col min="18" max="18" width="11.5703125" style="200" customWidth="1"/>
    <col min="19" max="19" width="10.7109375" style="200" customWidth="1"/>
    <col min="20" max="20" width="12.85546875" style="200" customWidth="1"/>
    <col min="21" max="21" width="19.5703125" style="200" customWidth="1"/>
    <col min="22" max="22" width="12.28515625" style="200" customWidth="1"/>
    <col min="23" max="23" width="12.42578125" style="743" customWidth="1"/>
    <col min="24" max="24" width="12.7109375" style="200" customWidth="1"/>
    <col min="25" max="25" width="14.28515625" style="200" customWidth="1"/>
    <col min="26" max="26" width="12.140625" style="200" customWidth="1"/>
    <col min="27" max="27" width="14.28515625" style="200" bestFit="1" customWidth="1"/>
    <col min="28" max="28" width="9.42578125" style="98" customWidth="1"/>
    <col min="29" max="29" width="9.140625" style="98"/>
    <col min="30" max="30" width="11.28515625" style="98" bestFit="1" customWidth="1"/>
    <col min="31" max="16384" width="9.140625" style="98"/>
  </cols>
  <sheetData>
    <row r="1" spans="1:170" s="100" customFormat="1" ht="19.5" customHeight="1" x14ac:dyDescent="0.2">
      <c r="A1" s="651"/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</row>
    <row r="2" spans="1:170" ht="19.5" hidden="1" customHeight="1" x14ac:dyDescent="0.2">
      <c r="A2" s="101"/>
      <c r="B2" s="102"/>
      <c r="C2" s="103">
        <v>1</v>
      </c>
      <c r="D2" s="103">
        <v>2</v>
      </c>
      <c r="E2" s="103">
        <v>3</v>
      </c>
      <c r="F2" s="103">
        <v>4</v>
      </c>
      <c r="G2" s="103">
        <v>5</v>
      </c>
      <c r="H2" s="103">
        <v>6</v>
      </c>
      <c r="I2" s="103">
        <v>7</v>
      </c>
      <c r="J2" s="103">
        <v>8</v>
      </c>
      <c r="K2" s="103">
        <v>9</v>
      </c>
      <c r="L2" s="103">
        <v>10</v>
      </c>
      <c r="M2" s="103">
        <v>11</v>
      </c>
      <c r="N2" s="103">
        <v>12</v>
      </c>
      <c r="O2" s="103">
        <v>13</v>
      </c>
      <c r="P2" s="103">
        <v>14</v>
      </c>
      <c r="Q2" s="103">
        <v>15</v>
      </c>
      <c r="R2" s="103">
        <v>16</v>
      </c>
      <c r="S2" s="103">
        <v>17</v>
      </c>
      <c r="T2" s="103">
        <v>18</v>
      </c>
      <c r="U2" s="103">
        <v>19</v>
      </c>
      <c r="V2" s="103">
        <v>20</v>
      </c>
      <c r="W2" s="729">
        <v>21</v>
      </c>
      <c r="X2" s="103">
        <v>22</v>
      </c>
      <c r="Y2" s="103">
        <v>23</v>
      </c>
      <c r="Z2" s="103">
        <v>24</v>
      </c>
      <c r="AA2" s="103"/>
      <c r="AB2" s="103"/>
    </row>
    <row r="3" spans="1:170" ht="19.5" customHeight="1" x14ac:dyDescent="0.2">
      <c r="A3" s="101"/>
      <c r="B3" s="10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>
        <f>125793520-150000</f>
        <v>125643520</v>
      </c>
      <c r="N3" s="103"/>
      <c r="O3" s="103"/>
      <c r="P3" s="103"/>
      <c r="Q3" s="103"/>
      <c r="R3" s="103"/>
      <c r="S3" s="103"/>
      <c r="T3" s="104"/>
      <c r="U3" s="103"/>
      <c r="V3" s="103"/>
      <c r="W3" s="729"/>
      <c r="X3" s="103"/>
      <c r="Y3" s="103"/>
      <c r="Z3" s="105"/>
      <c r="AA3" s="106"/>
      <c r="AB3" s="103"/>
    </row>
    <row r="4" spans="1:170" ht="19.5" customHeight="1" x14ac:dyDescent="0.2">
      <c r="A4" s="652" t="s">
        <v>393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</row>
    <row r="5" spans="1:170" ht="18" customHeight="1" x14ac:dyDescent="0.2">
      <c r="A5" s="652" t="s">
        <v>1125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</row>
    <row r="6" spans="1:170" ht="28.5" customHeight="1" x14ac:dyDescent="0.2">
      <c r="A6" s="107" t="s">
        <v>394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730"/>
      <c r="X6" s="107"/>
      <c r="Y6" s="107"/>
      <c r="Z6" s="107"/>
      <c r="AA6" s="107"/>
      <c r="AB6" s="107"/>
    </row>
    <row r="7" spans="1:170" ht="13.5" customHeight="1" x14ac:dyDescent="0.2">
      <c r="A7" s="653" t="s">
        <v>3</v>
      </c>
      <c r="B7" s="653" t="s">
        <v>395</v>
      </c>
      <c r="C7" s="654" t="s">
        <v>396</v>
      </c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5" t="s">
        <v>7</v>
      </c>
      <c r="AB7" s="657" t="s">
        <v>397</v>
      </c>
    </row>
    <row r="8" spans="1:170" ht="72.75" customHeight="1" x14ac:dyDescent="0.2">
      <c r="A8" s="653"/>
      <c r="B8" s="653"/>
      <c r="C8" s="108" t="s">
        <v>398</v>
      </c>
      <c r="D8" s="108" t="s">
        <v>399</v>
      </c>
      <c r="E8" s="108" t="s">
        <v>400</v>
      </c>
      <c r="F8" s="108" t="s">
        <v>401</v>
      </c>
      <c r="G8" s="108" t="s">
        <v>402</v>
      </c>
      <c r="H8" s="108" t="s">
        <v>403</v>
      </c>
      <c r="I8" s="108" t="s">
        <v>404</v>
      </c>
      <c r="J8" s="108" t="s">
        <v>405</v>
      </c>
      <c r="K8" s="108" t="s">
        <v>406</v>
      </c>
      <c r="L8" s="108" t="s">
        <v>407</v>
      </c>
      <c r="M8" s="108" t="s">
        <v>408</v>
      </c>
      <c r="N8" s="108" t="s">
        <v>409</v>
      </c>
      <c r="O8" s="108" t="s">
        <v>410</v>
      </c>
      <c r="P8" s="108" t="s">
        <v>411</v>
      </c>
      <c r="Q8" s="108" t="s">
        <v>412</v>
      </c>
      <c r="R8" s="108" t="s">
        <v>413</v>
      </c>
      <c r="S8" s="108" t="s">
        <v>414</v>
      </c>
      <c r="T8" s="108" t="s">
        <v>415</v>
      </c>
      <c r="U8" s="108" t="s">
        <v>416</v>
      </c>
      <c r="V8" s="108" t="s">
        <v>417</v>
      </c>
      <c r="W8" s="731" t="s">
        <v>418</v>
      </c>
      <c r="X8" s="108" t="s">
        <v>419</v>
      </c>
      <c r="Y8" s="108" t="s">
        <v>420</v>
      </c>
      <c r="Z8" s="108" t="s">
        <v>421</v>
      </c>
      <c r="AA8" s="656"/>
      <c r="AB8" s="658"/>
    </row>
    <row r="9" spans="1:170" s="115" customFormat="1" ht="24" customHeight="1" x14ac:dyDescent="0.2">
      <c r="A9" s="109"/>
      <c r="B9" s="110" t="s">
        <v>422</v>
      </c>
      <c r="C9" s="111">
        <f t="shared" ref="C9:E9" si="0">C10+C40+C72+C82+C92+C101+C156</f>
        <v>3516080</v>
      </c>
      <c r="D9" s="111">
        <f t="shared" si="0"/>
        <v>10645444</v>
      </c>
      <c r="E9" s="111">
        <f t="shared" si="0"/>
        <v>84074007</v>
      </c>
      <c r="F9" s="111">
        <f t="shared" ref="F9:Z9" si="1">F10+F40+F72+F82+F92+F101+F156</f>
        <v>18510508</v>
      </c>
      <c r="G9" s="111">
        <f t="shared" si="1"/>
        <v>2130000</v>
      </c>
      <c r="H9" s="111">
        <f t="shared" si="1"/>
        <v>5500000</v>
      </c>
      <c r="I9" s="111">
        <f t="shared" si="1"/>
        <v>10578080</v>
      </c>
      <c r="J9" s="111">
        <f t="shared" si="1"/>
        <v>5595984</v>
      </c>
      <c r="K9" s="111">
        <f t="shared" si="1"/>
        <v>5057120</v>
      </c>
      <c r="L9" s="111">
        <f t="shared" si="1"/>
        <v>3932520</v>
      </c>
      <c r="M9" s="111">
        <f t="shared" si="1"/>
        <v>23294000</v>
      </c>
      <c r="N9" s="111">
        <f t="shared" si="1"/>
        <v>27164000</v>
      </c>
      <c r="O9" s="111">
        <f t="shared" si="1"/>
        <v>25975680</v>
      </c>
      <c r="P9" s="111">
        <f t="shared" si="1"/>
        <v>0</v>
      </c>
      <c r="Q9" s="111">
        <f t="shared" si="1"/>
        <v>2726256</v>
      </c>
      <c r="R9" s="111">
        <f t="shared" si="1"/>
        <v>2694000</v>
      </c>
      <c r="S9" s="111">
        <f t="shared" si="1"/>
        <v>841840</v>
      </c>
      <c r="T9" s="111">
        <f t="shared" si="1"/>
        <v>1016840</v>
      </c>
      <c r="U9" s="111">
        <f t="shared" si="1"/>
        <v>5104144</v>
      </c>
      <c r="V9" s="111">
        <f t="shared" si="1"/>
        <v>2488784</v>
      </c>
      <c r="W9" s="732">
        <f t="shared" si="1"/>
        <v>0</v>
      </c>
      <c r="X9" s="111">
        <f t="shared" si="1"/>
        <v>3650520</v>
      </c>
      <c r="Y9" s="111">
        <f t="shared" si="1"/>
        <v>233749680</v>
      </c>
      <c r="Z9" s="111">
        <f t="shared" si="1"/>
        <v>3671760</v>
      </c>
      <c r="AA9" s="111">
        <f t="shared" ref="AA9:AA40" si="2">+SUM(C9:Z9)</f>
        <v>481917247</v>
      </c>
      <c r="AB9" s="112">
        <f t="shared" ref="AB9:AB25" si="3">AA9/$AA$9</f>
        <v>1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</row>
    <row r="10" spans="1:170" s="120" customFormat="1" ht="20.25" customHeight="1" x14ac:dyDescent="0.2">
      <c r="A10" s="116" t="s">
        <v>423</v>
      </c>
      <c r="B10" s="117" t="s">
        <v>424</v>
      </c>
      <c r="C10" s="118">
        <f t="shared" ref="C10:E10" si="4">C11+C34</f>
        <v>2425280</v>
      </c>
      <c r="D10" s="118">
        <f t="shared" si="4"/>
        <v>9282244</v>
      </c>
      <c r="E10" s="118">
        <f t="shared" si="4"/>
        <v>23460000</v>
      </c>
      <c r="F10" s="118">
        <f t="shared" ref="F10:Z10" si="5">F11+F34</f>
        <v>16310508</v>
      </c>
      <c r="G10" s="118">
        <f t="shared" si="5"/>
        <v>2070000</v>
      </c>
      <c r="H10" s="118">
        <f t="shared" si="5"/>
        <v>0</v>
      </c>
      <c r="I10" s="118">
        <f t="shared" si="5"/>
        <v>3832800</v>
      </c>
      <c r="J10" s="118">
        <f t="shared" si="5"/>
        <v>2055984</v>
      </c>
      <c r="K10" s="118">
        <f t="shared" si="5"/>
        <v>979200</v>
      </c>
      <c r="L10" s="118">
        <f t="shared" si="5"/>
        <v>3485640</v>
      </c>
      <c r="M10" s="118">
        <f t="shared" si="5"/>
        <v>13104000</v>
      </c>
      <c r="N10" s="118">
        <f t="shared" si="5"/>
        <v>6534000</v>
      </c>
      <c r="O10" s="118">
        <f t="shared" si="5"/>
        <v>10528800</v>
      </c>
      <c r="P10" s="118">
        <f t="shared" si="5"/>
        <v>0</v>
      </c>
      <c r="Q10" s="118">
        <f t="shared" si="5"/>
        <v>2451256</v>
      </c>
      <c r="R10" s="118">
        <f t="shared" si="5"/>
        <v>2664000</v>
      </c>
      <c r="S10" s="118">
        <f t="shared" si="5"/>
        <v>816840</v>
      </c>
      <c r="T10" s="118">
        <f t="shared" si="5"/>
        <v>816840</v>
      </c>
      <c r="U10" s="118">
        <f t="shared" si="5"/>
        <v>5079144</v>
      </c>
      <c r="V10" s="118">
        <f t="shared" si="5"/>
        <v>2288784</v>
      </c>
      <c r="W10" s="733">
        <f t="shared" si="5"/>
        <v>0</v>
      </c>
      <c r="X10" s="118">
        <f t="shared" si="5"/>
        <v>3650520</v>
      </c>
      <c r="Y10" s="118">
        <f t="shared" si="5"/>
        <v>10552800</v>
      </c>
      <c r="Z10" s="118">
        <f t="shared" si="5"/>
        <v>3404880</v>
      </c>
      <c r="AA10" s="118">
        <f t="shared" si="2"/>
        <v>125793520</v>
      </c>
      <c r="AB10" s="119">
        <f t="shared" si="3"/>
        <v>0.26102722154702218</v>
      </c>
      <c r="AC10" s="98"/>
      <c r="AD10" s="511">
        <f>+AA10+MapaX!I14</f>
        <v>400713520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</row>
    <row r="11" spans="1:170" s="125" customFormat="1" ht="15.75" x14ac:dyDescent="0.2">
      <c r="A11" s="121" t="s">
        <v>425</v>
      </c>
      <c r="B11" s="122" t="s">
        <v>426</v>
      </c>
      <c r="C11" s="123">
        <f t="shared" ref="C11:E11" si="6">C12+C17+C27</f>
        <v>2425280</v>
      </c>
      <c r="D11" s="123">
        <f t="shared" si="6"/>
        <v>9282244</v>
      </c>
      <c r="E11" s="123">
        <f t="shared" si="6"/>
        <v>15430000</v>
      </c>
      <c r="F11" s="123">
        <f t="shared" ref="F11:Z11" si="7">F12+F17+F27</f>
        <v>16250508</v>
      </c>
      <c r="G11" s="123">
        <f t="shared" si="7"/>
        <v>2070000</v>
      </c>
      <c r="H11" s="123">
        <f t="shared" si="7"/>
        <v>0</v>
      </c>
      <c r="I11" s="123">
        <f t="shared" si="7"/>
        <v>3832800</v>
      </c>
      <c r="J11" s="123">
        <f t="shared" si="7"/>
        <v>2048784</v>
      </c>
      <c r="K11" s="123">
        <f t="shared" si="7"/>
        <v>979200</v>
      </c>
      <c r="L11" s="123">
        <f t="shared" si="7"/>
        <v>3485640</v>
      </c>
      <c r="M11" s="123">
        <f t="shared" si="7"/>
        <v>13080000</v>
      </c>
      <c r="N11" s="123">
        <f t="shared" si="7"/>
        <v>6510000</v>
      </c>
      <c r="O11" s="123">
        <f t="shared" si="7"/>
        <v>10468800</v>
      </c>
      <c r="P11" s="123">
        <f t="shared" si="7"/>
        <v>0</v>
      </c>
      <c r="Q11" s="123">
        <f t="shared" si="7"/>
        <v>2436256</v>
      </c>
      <c r="R11" s="123">
        <f t="shared" si="7"/>
        <v>2664000</v>
      </c>
      <c r="S11" s="123">
        <f t="shared" si="7"/>
        <v>816840</v>
      </c>
      <c r="T11" s="123">
        <f t="shared" si="7"/>
        <v>816840</v>
      </c>
      <c r="U11" s="123">
        <f t="shared" si="7"/>
        <v>5071944</v>
      </c>
      <c r="V11" s="123">
        <f t="shared" si="7"/>
        <v>2288784</v>
      </c>
      <c r="W11" s="725">
        <f t="shared" si="7"/>
        <v>0</v>
      </c>
      <c r="X11" s="123">
        <f t="shared" si="7"/>
        <v>3650520</v>
      </c>
      <c r="Y11" s="123">
        <f t="shared" si="7"/>
        <v>10528800</v>
      </c>
      <c r="Z11" s="123">
        <f t="shared" si="7"/>
        <v>3402480</v>
      </c>
      <c r="AA11" s="123">
        <f t="shared" si="2"/>
        <v>117539720</v>
      </c>
      <c r="AB11" s="124">
        <f t="shared" si="3"/>
        <v>0.24390021467731368</v>
      </c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</row>
    <row r="12" spans="1:170" s="113" customFormat="1" ht="19.5" customHeight="1" x14ac:dyDescent="0.2">
      <c r="A12" s="126" t="s">
        <v>429</v>
      </c>
      <c r="B12" s="126" t="s">
        <v>430</v>
      </c>
      <c r="C12" s="127">
        <f>SUM(C13:C16)</f>
        <v>1289280</v>
      </c>
      <c r="D12" s="127">
        <f>SUM(D13:D16)</f>
        <v>7997444</v>
      </c>
      <c r="E12" s="127">
        <f>SUM(E13:E16)</f>
        <v>12600000</v>
      </c>
      <c r="F12" s="127">
        <f t="shared" ref="F12:Z12" si="8">SUM(F13:F16)</f>
        <v>15216840</v>
      </c>
      <c r="G12" s="127">
        <f t="shared" si="8"/>
        <v>1440000</v>
      </c>
      <c r="H12" s="127">
        <f t="shared" si="8"/>
        <v>0</v>
      </c>
      <c r="I12" s="127">
        <f t="shared" si="8"/>
        <v>2692800</v>
      </c>
      <c r="J12" s="127">
        <f t="shared" si="8"/>
        <v>2048784</v>
      </c>
      <c r="K12" s="127">
        <f t="shared" si="8"/>
        <v>979200</v>
      </c>
      <c r="L12" s="127">
        <f t="shared" si="8"/>
        <v>3485640</v>
      </c>
      <c r="M12" s="127">
        <f t="shared" si="8"/>
        <v>12720000</v>
      </c>
      <c r="N12" s="127">
        <f t="shared" si="8"/>
        <v>5760000</v>
      </c>
      <c r="O12" s="127">
        <f t="shared" si="8"/>
        <v>7468800</v>
      </c>
      <c r="P12" s="127">
        <f t="shared" si="8"/>
        <v>0</v>
      </c>
      <c r="Q12" s="127">
        <f t="shared" si="8"/>
        <v>2426256</v>
      </c>
      <c r="R12" s="127">
        <f t="shared" si="8"/>
        <v>2064000</v>
      </c>
      <c r="S12" s="127">
        <f t="shared" si="8"/>
        <v>816840</v>
      </c>
      <c r="T12" s="127">
        <f t="shared" si="8"/>
        <v>816840</v>
      </c>
      <c r="U12" s="127">
        <f t="shared" si="8"/>
        <v>4231944</v>
      </c>
      <c r="V12" s="127">
        <f t="shared" si="8"/>
        <v>2048784</v>
      </c>
      <c r="W12" s="725">
        <f t="shared" si="8"/>
        <v>0</v>
      </c>
      <c r="X12" s="127">
        <f t="shared" si="8"/>
        <v>2450520</v>
      </c>
      <c r="Y12" s="127">
        <f t="shared" si="8"/>
        <v>9508800</v>
      </c>
      <c r="Z12" s="127">
        <f t="shared" si="8"/>
        <v>3102480</v>
      </c>
      <c r="AA12" s="127">
        <f t="shared" si="2"/>
        <v>101165252</v>
      </c>
      <c r="AB12" s="128">
        <f t="shared" si="3"/>
        <v>0.20992245583607427</v>
      </c>
      <c r="AC12" s="98"/>
      <c r="AD12" s="511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</row>
    <row r="13" spans="1:170" ht="21.75" customHeight="1" x14ac:dyDescent="0.2">
      <c r="A13" s="129" t="s">
        <v>431</v>
      </c>
      <c r="B13" s="129" t="s">
        <v>432</v>
      </c>
      <c r="C13" s="130">
        <v>1289280</v>
      </c>
      <c r="D13" s="130">
        <v>7997444</v>
      </c>
      <c r="E13" s="130"/>
      <c r="F13" s="130">
        <v>0</v>
      </c>
      <c r="G13" s="130">
        <v>0</v>
      </c>
      <c r="H13" s="130"/>
      <c r="I13" s="130">
        <v>652800</v>
      </c>
      <c r="J13" s="130">
        <v>0</v>
      </c>
      <c r="K13" s="130">
        <v>979200</v>
      </c>
      <c r="L13" s="130">
        <v>1468800</v>
      </c>
      <c r="M13" s="130">
        <v>0</v>
      </c>
      <c r="N13" s="130">
        <v>0</v>
      </c>
      <c r="O13" s="130">
        <v>1468800</v>
      </c>
      <c r="P13" s="130">
        <v>0</v>
      </c>
      <c r="Q13" s="130">
        <v>0</v>
      </c>
      <c r="R13" s="130">
        <v>0</v>
      </c>
      <c r="S13" s="130">
        <v>0</v>
      </c>
      <c r="T13" s="130"/>
      <c r="U13" s="130">
        <v>0</v>
      </c>
      <c r="V13" s="130">
        <v>0</v>
      </c>
      <c r="W13" s="135">
        <v>0</v>
      </c>
      <c r="X13" s="130"/>
      <c r="Y13" s="130">
        <v>1468800</v>
      </c>
      <c r="Z13" s="130">
        <v>1468800</v>
      </c>
      <c r="AA13" s="131">
        <f t="shared" si="2"/>
        <v>16793924</v>
      </c>
      <c r="AB13" s="132">
        <f t="shared" si="3"/>
        <v>3.4848148939562645E-2</v>
      </c>
    </row>
    <row r="14" spans="1:170" ht="20.25" customHeight="1" x14ac:dyDescent="0.2">
      <c r="A14" s="129" t="s">
        <v>434</v>
      </c>
      <c r="B14" s="129" t="s">
        <v>435</v>
      </c>
      <c r="C14" s="130">
        <v>0</v>
      </c>
      <c r="D14" s="130">
        <v>0</v>
      </c>
      <c r="E14" s="130">
        <v>4200000</v>
      </c>
      <c r="F14" s="130">
        <v>816840</v>
      </c>
      <c r="G14" s="130">
        <v>0</v>
      </c>
      <c r="H14" s="130">
        <v>0</v>
      </c>
      <c r="I14" s="130">
        <v>0</v>
      </c>
      <c r="J14" s="130">
        <v>1231944</v>
      </c>
      <c r="K14" s="130">
        <v>0</v>
      </c>
      <c r="L14" s="130">
        <v>816840</v>
      </c>
      <c r="M14" s="130">
        <v>0</v>
      </c>
      <c r="N14" s="130">
        <v>3000000</v>
      </c>
      <c r="O14" s="130">
        <v>4800000</v>
      </c>
      <c r="P14" s="130">
        <v>0</v>
      </c>
      <c r="Q14" s="130">
        <v>0</v>
      </c>
      <c r="R14" s="130"/>
      <c r="S14" s="130">
        <v>0</v>
      </c>
      <c r="T14" s="130">
        <v>816840</v>
      </c>
      <c r="U14" s="130">
        <v>1231944</v>
      </c>
      <c r="V14" s="130">
        <v>816840</v>
      </c>
      <c r="W14" s="135">
        <v>0</v>
      </c>
      <c r="X14" s="130"/>
      <c r="Y14" s="130">
        <v>4200000</v>
      </c>
      <c r="Z14" s="130">
        <v>816840</v>
      </c>
      <c r="AA14" s="131">
        <f t="shared" si="2"/>
        <v>22748088</v>
      </c>
      <c r="AB14" s="132">
        <f t="shared" si="3"/>
        <v>4.7203307500634027E-2</v>
      </c>
    </row>
    <row r="15" spans="1:170" ht="18.75" customHeight="1" x14ac:dyDescent="0.2">
      <c r="A15" s="129" t="s">
        <v>436</v>
      </c>
      <c r="B15" s="129" t="s">
        <v>437</v>
      </c>
      <c r="C15" s="130">
        <v>0</v>
      </c>
      <c r="D15" s="130">
        <v>0</v>
      </c>
      <c r="E15" s="130">
        <v>8400000</v>
      </c>
      <c r="F15" s="130">
        <v>14400000</v>
      </c>
      <c r="G15" s="130">
        <v>1440000</v>
      </c>
      <c r="H15" s="135">
        <v>0</v>
      </c>
      <c r="I15" s="135">
        <v>2040000</v>
      </c>
      <c r="J15" s="130">
        <v>816840</v>
      </c>
      <c r="K15" s="130">
        <v>0</v>
      </c>
      <c r="L15" s="130">
        <v>1200000</v>
      </c>
      <c r="M15" s="130">
        <v>12720000</v>
      </c>
      <c r="N15" s="130">
        <v>2760000</v>
      </c>
      <c r="O15" s="130">
        <v>1200000</v>
      </c>
      <c r="P15" s="130"/>
      <c r="Q15" s="130">
        <v>2426256</v>
      </c>
      <c r="R15" s="130">
        <v>2064000</v>
      </c>
      <c r="S15" s="130">
        <v>816840</v>
      </c>
      <c r="T15" s="130"/>
      <c r="U15" s="130">
        <v>3000000</v>
      </c>
      <c r="V15" s="130">
        <v>1231944</v>
      </c>
      <c r="W15" s="135"/>
      <c r="X15" s="130">
        <v>2450520</v>
      </c>
      <c r="Y15" s="130">
        <v>3840000</v>
      </c>
      <c r="Z15" s="130">
        <v>816840</v>
      </c>
      <c r="AA15" s="131">
        <f t="shared" si="2"/>
        <v>61623240</v>
      </c>
      <c r="AB15" s="132">
        <f t="shared" si="3"/>
        <v>0.12787099939587762</v>
      </c>
    </row>
    <row r="16" spans="1:170" ht="21.75" customHeight="1" x14ac:dyDescent="0.2">
      <c r="A16" s="129" t="s">
        <v>439</v>
      </c>
      <c r="B16" s="129" t="s">
        <v>440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5">
        <v>0</v>
      </c>
      <c r="X16" s="130">
        <v>0</v>
      </c>
      <c r="Y16" s="130">
        <v>0</v>
      </c>
      <c r="Z16" s="130">
        <v>0</v>
      </c>
      <c r="AA16" s="130">
        <f t="shared" si="2"/>
        <v>0</v>
      </c>
      <c r="AB16" s="132">
        <f t="shared" si="3"/>
        <v>0</v>
      </c>
    </row>
    <row r="17" spans="1:170" s="113" customFormat="1" ht="21" customHeight="1" x14ac:dyDescent="0.2">
      <c r="A17" s="126" t="s">
        <v>441</v>
      </c>
      <c r="B17" s="126" t="s">
        <v>442</v>
      </c>
      <c r="C17" s="127">
        <f>SUM(C18:C26)</f>
        <v>1136000</v>
      </c>
      <c r="D17" s="127">
        <f>SUM(D18:D26)</f>
        <v>1284800</v>
      </c>
      <c r="E17" s="127">
        <f>SUM(E18:E26)</f>
        <v>2830000</v>
      </c>
      <c r="F17" s="127">
        <f>SUM(F18:F26)</f>
        <v>1033668</v>
      </c>
      <c r="G17" s="127">
        <f>G18+G19+G20+G21+G22+G23+G24+G25+G26</f>
        <v>630000</v>
      </c>
      <c r="H17" s="127">
        <f>H18+H19+H20+H21+H22+H23+H24+H25+H26</f>
        <v>0</v>
      </c>
      <c r="I17" s="127">
        <f>+I18+I19+I20+I21+I22+I23+I24+I25+I26</f>
        <v>1140000</v>
      </c>
      <c r="J17" s="127">
        <f>+J18+J19+J20+J21+J22+J23+J24+J25+J26</f>
        <v>0</v>
      </c>
      <c r="K17" s="127">
        <f>+K18+K19+K20+K21+K22+K23+K24+K25+K26</f>
        <v>0</v>
      </c>
      <c r="L17" s="127">
        <f>+L18+L19+L20+L21+L22+L23+L24+L25+L26</f>
        <v>0</v>
      </c>
      <c r="M17" s="127">
        <f>+M18+M19+M20+M21+M22+M23+M24+M25+M26</f>
        <v>360000</v>
      </c>
      <c r="N17" s="127">
        <f>N18+N19+N20+N21+N22+N23+N24+N25+N26</f>
        <v>750000</v>
      </c>
      <c r="O17" s="127">
        <f>O18+O19+O20+O21+O22+O23+O24+O25+O26</f>
        <v>1200000</v>
      </c>
      <c r="P17" s="127">
        <f>+P18+P19+P20+P21+P22+P23+P24+P25+P26</f>
        <v>0</v>
      </c>
      <c r="Q17" s="127">
        <f>Q18+Q19+Q20+Q21+Q22+Q23+Q24+Q25+Q26</f>
        <v>10000</v>
      </c>
      <c r="R17" s="127">
        <f>R18+R19+R20+R21+R22+R23+R24+R25+R26</f>
        <v>600000</v>
      </c>
      <c r="S17" s="127">
        <f t="shared" ref="S17:X17" si="9">+S18+S19+S20+S21+S22+S23+S24+S25+S26</f>
        <v>0</v>
      </c>
      <c r="T17" s="127">
        <f t="shared" si="9"/>
        <v>0</v>
      </c>
      <c r="U17" s="127">
        <f t="shared" si="9"/>
        <v>840000</v>
      </c>
      <c r="V17" s="127">
        <f t="shared" si="9"/>
        <v>240000</v>
      </c>
      <c r="W17" s="725">
        <f t="shared" si="9"/>
        <v>0</v>
      </c>
      <c r="X17" s="127">
        <f t="shared" si="9"/>
        <v>1200000</v>
      </c>
      <c r="Y17" s="127">
        <f>Y18+Y19+Y20+Y21+Y22+Y23+Y24+Y25+Y26</f>
        <v>1020000</v>
      </c>
      <c r="Z17" s="127">
        <f>+SUM(Z18:Z26)</f>
        <v>300000</v>
      </c>
      <c r="AA17" s="127">
        <f t="shared" si="2"/>
        <v>14574468</v>
      </c>
      <c r="AB17" s="128">
        <f t="shared" si="3"/>
        <v>3.0242677743384436E-2</v>
      </c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</row>
    <row r="18" spans="1:170" ht="21.75" customHeight="1" x14ac:dyDescent="0.2">
      <c r="A18" s="129" t="s">
        <v>443</v>
      </c>
      <c r="B18" s="129" t="s">
        <v>444</v>
      </c>
      <c r="C18" s="130"/>
      <c r="D18" s="130">
        <v>0</v>
      </c>
      <c r="E18" s="130">
        <v>840000</v>
      </c>
      <c r="F18" s="130">
        <v>0</v>
      </c>
      <c r="G18" s="130">
        <v>0</v>
      </c>
      <c r="H18" s="130">
        <v>0</v>
      </c>
      <c r="I18" s="130">
        <v>240000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5">
        <v>0</v>
      </c>
      <c r="X18" s="130"/>
      <c r="Y18" s="130">
        <v>0</v>
      </c>
      <c r="Z18" s="130">
        <v>0</v>
      </c>
      <c r="AA18" s="131">
        <f t="shared" si="2"/>
        <v>1080000</v>
      </c>
      <c r="AB18" s="132">
        <f t="shared" si="3"/>
        <v>2.2410486587129759E-3</v>
      </c>
    </row>
    <row r="19" spans="1:170" ht="25.5" customHeight="1" x14ac:dyDescent="0.2">
      <c r="A19" s="129" t="s">
        <v>446</v>
      </c>
      <c r="B19" s="129" t="s">
        <v>1129</v>
      </c>
      <c r="C19" s="130">
        <v>0</v>
      </c>
      <c r="D19" s="130">
        <v>840000</v>
      </c>
      <c r="E19" s="130">
        <v>1200000</v>
      </c>
      <c r="F19" s="130">
        <v>600000</v>
      </c>
      <c r="G19" s="130">
        <v>360000</v>
      </c>
      <c r="H19" s="130">
        <v>0</v>
      </c>
      <c r="I19" s="130">
        <v>240000</v>
      </c>
      <c r="J19" s="130">
        <v>0</v>
      </c>
      <c r="K19" s="130">
        <v>0</v>
      </c>
      <c r="L19" s="130">
        <v>0</v>
      </c>
      <c r="M19" s="130">
        <v>180000</v>
      </c>
      <c r="N19" s="130">
        <v>360000</v>
      </c>
      <c r="O19" s="130">
        <v>300000</v>
      </c>
      <c r="P19" s="130">
        <v>0</v>
      </c>
      <c r="Q19" s="130">
        <v>0</v>
      </c>
      <c r="R19" s="130">
        <v>600000</v>
      </c>
      <c r="S19" s="130">
        <v>0</v>
      </c>
      <c r="T19" s="130">
        <v>0</v>
      </c>
      <c r="U19" s="130">
        <v>600000</v>
      </c>
      <c r="V19" s="130">
        <v>240000</v>
      </c>
      <c r="W19" s="135">
        <v>0</v>
      </c>
      <c r="X19" s="130">
        <v>1200000</v>
      </c>
      <c r="Y19" s="130">
        <v>600000</v>
      </c>
      <c r="Z19" s="130">
        <v>180000</v>
      </c>
      <c r="AA19" s="131">
        <f t="shared" si="2"/>
        <v>7500000</v>
      </c>
      <c r="AB19" s="132">
        <f t="shared" si="3"/>
        <v>1.5562837907729001E-2</v>
      </c>
    </row>
    <row r="20" spans="1:170" ht="21" customHeight="1" x14ac:dyDescent="0.2">
      <c r="A20" s="129" t="s">
        <v>447</v>
      </c>
      <c r="B20" s="129" t="s">
        <v>448</v>
      </c>
      <c r="C20" s="130">
        <v>0</v>
      </c>
      <c r="D20" s="130">
        <v>244800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5">
        <v>0</v>
      </c>
      <c r="X20" s="130"/>
      <c r="Y20" s="130">
        <v>0</v>
      </c>
      <c r="Z20" s="130">
        <v>0</v>
      </c>
      <c r="AA20" s="131">
        <f t="shared" si="2"/>
        <v>244800</v>
      </c>
      <c r="AB20" s="132">
        <f t="shared" si="3"/>
        <v>5.0797102930827463E-4</v>
      </c>
    </row>
    <row r="21" spans="1:170" ht="21.75" customHeight="1" x14ac:dyDescent="0.2">
      <c r="A21" s="129" t="s">
        <v>450</v>
      </c>
      <c r="B21" s="129" t="s">
        <v>451</v>
      </c>
      <c r="C21" s="130">
        <v>900000</v>
      </c>
      <c r="D21" s="130">
        <v>0</v>
      </c>
      <c r="E21" s="130">
        <v>300000</v>
      </c>
      <c r="F21" s="130">
        <v>133668</v>
      </c>
      <c r="G21" s="130">
        <v>0</v>
      </c>
      <c r="H21" s="130">
        <v>0</v>
      </c>
      <c r="I21" s="130">
        <v>540000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5">
        <v>0</v>
      </c>
      <c r="X21" s="130"/>
      <c r="Y21" s="130">
        <v>0</v>
      </c>
      <c r="Z21" s="130">
        <v>0</v>
      </c>
      <c r="AA21" s="131">
        <f t="shared" si="2"/>
        <v>1873668</v>
      </c>
      <c r="AB21" s="132">
        <f t="shared" si="3"/>
        <v>3.8879455169198375E-3</v>
      </c>
    </row>
    <row r="22" spans="1:170" ht="19.5" customHeight="1" x14ac:dyDescent="0.2">
      <c r="A22" s="129" t="s">
        <v>452</v>
      </c>
      <c r="B22" s="129" t="s">
        <v>453</v>
      </c>
      <c r="C22" s="130">
        <v>0</v>
      </c>
      <c r="D22" s="130">
        <v>0</v>
      </c>
      <c r="E22" s="130">
        <v>180000</v>
      </c>
      <c r="F22" s="130">
        <v>300000</v>
      </c>
      <c r="G22" s="130">
        <v>120000</v>
      </c>
      <c r="H22" s="130">
        <v>0</v>
      </c>
      <c r="I22" s="130">
        <v>120000</v>
      </c>
      <c r="J22" s="130"/>
      <c r="K22" s="130">
        <v>0</v>
      </c>
      <c r="L22" s="130">
        <v>0</v>
      </c>
      <c r="M22" s="130">
        <v>180000</v>
      </c>
      <c r="N22" s="130">
        <v>360000</v>
      </c>
      <c r="O22" s="130">
        <v>300000</v>
      </c>
      <c r="P22" s="130"/>
      <c r="Q22" s="130">
        <v>10000</v>
      </c>
      <c r="R22" s="130">
        <v>0</v>
      </c>
      <c r="S22" s="130">
        <v>0</v>
      </c>
      <c r="T22" s="130">
        <v>0</v>
      </c>
      <c r="U22" s="130">
        <v>240000</v>
      </c>
      <c r="V22" s="130">
        <v>0</v>
      </c>
      <c r="W22" s="135">
        <v>0</v>
      </c>
      <c r="X22" s="130"/>
      <c r="Y22" s="130">
        <v>420000</v>
      </c>
      <c r="Z22" s="130">
        <v>120000</v>
      </c>
      <c r="AA22" s="131">
        <f t="shared" si="2"/>
        <v>2350000</v>
      </c>
      <c r="AB22" s="132">
        <f t="shared" si="3"/>
        <v>4.8763558777550871E-3</v>
      </c>
    </row>
    <row r="23" spans="1:170" ht="20.25" customHeight="1" x14ac:dyDescent="0.2">
      <c r="A23" s="129" t="s">
        <v>454</v>
      </c>
      <c r="B23" s="129" t="s">
        <v>455</v>
      </c>
      <c r="C23" s="130">
        <v>200000</v>
      </c>
      <c r="D23" s="130">
        <v>200000</v>
      </c>
      <c r="E23" s="130">
        <v>80000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30000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5">
        <v>0</v>
      </c>
      <c r="X23" s="130"/>
      <c r="Y23" s="130">
        <v>0</v>
      </c>
      <c r="Z23" s="130">
        <v>0</v>
      </c>
      <c r="AA23" s="131">
        <f t="shared" si="2"/>
        <v>510000</v>
      </c>
      <c r="AB23" s="132">
        <f t="shared" si="3"/>
        <v>1.058272977725572E-3</v>
      </c>
    </row>
    <row r="24" spans="1:170" ht="21.75" customHeight="1" x14ac:dyDescent="0.2">
      <c r="A24" s="129" t="s">
        <v>456</v>
      </c>
      <c r="B24" s="129" t="s">
        <v>457</v>
      </c>
      <c r="C24" s="130">
        <v>0</v>
      </c>
      <c r="D24" s="130">
        <v>0</v>
      </c>
      <c r="E24" s="130">
        <v>200000</v>
      </c>
      <c r="F24" s="130">
        <v>0</v>
      </c>
      <c r="G24" s="135">
        <f>+GETPIVOTDATA("valor",Sheet1!$I$2,"rubrica","02.01.01.02.07","cc","Dir. Proteção Civil")</f>
        <v>150000</v>
      </c>
      <c r="H24" s="130"/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600000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5">
        <v>0</v>
      </c>
      <c r="X24" s="130"/>
      <c r="Y24" s="130">
        <v>0</v>
      </c>
      <c r="Z24" s="130">
        <v>0</v>
      </c>
      <c r="AA24" s="131">
        <f t="shared" si="2"/>
        <v>950000</v>
      </c>
      <c r="AB24" s="132">
        <f t="shared" si="3"/>
        <v>1.9712928016456734E-3</v>
      </c>
    </row>
    <row r="25" spans="1:170" ht="21.75" customHeight="1" x14ac:dyDescent="0.2">
      <c r="A25" s="129" t="s">
        <v>458</v>
      </c>
      <c r="B25" s="129" t="s">
        <v>459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5">
        <v>0</v>
      </c>
      <c r="X25" s="130"/>
      <c r="Y25" s="130">
        <v>0</v>
      </c>
      <c r="Z25" s="130">
        <v>0</v>
      </c>
      <c r="AA25" s="131">
        <f t="shared" si="2"/>
        <v>0</v>
      </c>
      <c r="AB25" s="132">
        <f t="shared" si="3"/>
        <v>0</v>
      </c>
    </row>
    <row r="26" spans="1:170" ht="21.75" customHeight="1" x14ac:dyDescent="0.2">
      <c r="A26" s="129" t="s">
        <v>460</v>
      </c>
      <c r="B26" s="129" t="s">
        <v>461</v>
      </c>
      <c r="C26" s="130">
        <v>36000</v>
      </c>
      <c r="D26" s="130">
        <v>0</v>
      </c>
      <c r="E26" s="130">
        <v>30000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5">
        <v>0</v>
      </c>
      <c r="X26" s="130"/>
      <c r="Y26" s="130">
        <v>0</v>
      </c>
      <c r="Z26" s="130">
        <v>0</v>
      </c>
      <c r="AA26" s="131">
        <f t="shared" si="2"/>
        <v>66000</v>
      </c>
      <c r="AB26" s="132">
        <f>AA26/$AA$9</f>
        <v>1.3695297358801519E-4</v>
      </c>
    </row>
    <row r="27" spans="1:170" s="113" customFormat="1" ht="20.25" customHeight="1" x14ac:dyDescent="0.2">
      <c r="A27" s="126" t="s">
        <v>462</v>
      </c>
      <c r="B27" s="126" t="s">
        <v>463</v>
      </c>
      <c r="C27" s="127">
        <f>SUM(C28:C33)</f>
        <v>0</v>
      </c>
      <c r="D27" s="127">
        <f>SUM(D28:D33)</f>
        <v>0</v>
      </c>
      <c r="E27" s="127">
        <f>SUM(E28:E33)</f>
        <v>0</v>
      </c>
      <c r="F27" s="127">
        <f>SUM(F28:F33)</f>
        <v>0</v>
      </c>
      <c r="G27" s="127">
        <f>G28+G29+G30+G31+G32+G33</f>
        <v>0</v>
      </c>
      <c r="H27" s="127">
        <f>H28+H29+H30+H31+H32+H33</f>
        <v>0</v>
      </c>
      <c r="I27" s="127">
        <f>+I28+I29+I30+I31+I32+I33</f>
        <v>0</v>
      </c>
      <c r="J27" s="127">
        <f>+J28+J29+J30+J31+J32+J33</f>
        <v>0</v>
      </c>
      <c r="K27" s="127">
        <f>+K28+K29+K30+K31+K32+K33</f>
        <v>0</v>
      </c>
      <c r="L27" s="127">
        <f>+L28+L29+L30+L31+L32+L33</f>
        <v>0</v>
      </c>
      <c r="M27" s="127">
        <f>+M28+M29+M30+M31+M32+M33</f>
        <v>0</v>
      </c>
      <c r="N27" s="127">
        <f t="shared" ref="N27:Y27" si="10">N28+N29+N30+N31+N32+N33</f>
        <v>0</v>
      </c>
      <c r="O27" s="127">
        <f t="shared" si="10"/>
        <v>1800000</v>
      </c>
      <c r="P27" s="127">
        <f t="shared" si="10"/>
        <v>0</v>
      </c>
      <c r="Q27" s="127">
        <f t="shared" si="10"/>
        <v>0</v>
      </c>
      <c r="R27" s="127">
        <f t="shared" si="10"/>
        <v>0</v>
      </c>
      <c r="S27" s="127">
        <f t="shared" si="10"/>
        <v>0</v>
      </c>
      <c r="T27" s="127">
        <f>+T28+T29+T30+T31+T32+T33</f>
        <v>0</v>
      </c>
      <c r="U27" s="127">
        <f>+U28+U29+U30+U31+U32+U33</f>
        <v>0</v>
      </c>
      <c r="V27" s="127">
        <f>+V28+V29+V30+V31+V32+V33</f>
        <v>0</v>
      </c>
      <c r="W27" s="725">
        <f>+W28+W29+W30+W31+W32+W33</f>
        <v>0</v>
      </c>
      <c r="X27" s="127">
        <f>+X28+X29+X30+X31+X32+X33</f>
        <v>0</v>
      </c>
      <c r="Y27" s="127">
        <f t="shared" si="10"/>
        <v>0</v>
      </c>
      <c r="Z27" s="127">
        <f>+SUM(Z28:Z33)</f>
        <v>0</v>
      </c>
      <c r="AA27" s="127">
        <f t="shared" si="2"/>
        <v>1800000</v>
      </c>
      <c r="AB27" s="128">
        <f>AA27/$AA$9</f>
        <v>3.7350810978549602E-3</v>
      </c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</row>
    <row r="28" spans="1:170" ht="19.5" customHeight="1" x14ac:dyDescent="0.2">
      <c r="A28" s="129" t="s">
        <v>465</v>
      </c>
      <c r="B28" s="129" t="s">
        <v>466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600000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5">
        <v>0</v>
      </c>
      <c r="X28" s="130"/>
      <c r="Y28" s="130">
        <v>0</v>
      </c>
      <c r="Z28" s="130">
        <v>0</v>
      </c>
      <c r="AA28" s="131">
        <f t="shared" si="2"/>
        <v>600000</v>
      </c>
      <c r="AB28" s="137">
        <f t="shared" ref="AB28:AB67" si="11">AA28/$AA$9</f>
        <v>1.2450270326183201E-3</v>
      </c>
    </row>
    <row r="29" spans="1:170" ht="20.25" customHeight="1" x14ac:dyDescent="0.2">
      <c r="A29" s="129" t="s">
        <v>467</v>
      </c>
      <c r="B29" s="129" t="s">
        <v>468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240000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5">
        <v>0</v>
      </c>
      <c r="X29" s="130"/>
      <c r="Y29" s="130">
        <v>0</v>
      </c>
      <c r="Z29" s="130">
        <v>0</v>
      </c>
      <c r="AA29" s="131">
        <f t="shared" si="2"/>
        <v>240000</v>
      </c>
      <c r="AB29" s="137">
        <f t="shared" si="11"/>
        <v>4.9801081304732804E-4</v>
      </c>
    </row>
    <row r="30" spans="1:170" ht="19.5" customHeight="1" x14ac:dyDescent="0.2">
      <c r="A30" s="129" t="s">
        <v>470</v>
      </c>
      <c r="B30" s="129" t="s">
        <v>471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120000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5">
        <v>0</v>
      </c>
      <c r="X30" s="130"/>
      <c r="Y30" s="130">
        <v>0</v>
      </c>
      <c r="Z30" s="130">
        <v>0</v>
      </c>
      <c r="AA30" s="131">
        <f t="shared" si="2"/>
        <v>120000</v>
      </c>
      <c r="AB30" s="137">
        <f t="shared" si="11"/>
        <v>2.4900540652366402E-4</v>
      </c>
    </row>
    <row r="31" spans="1:170" ht="21.75" customHeight="1" x14ac:dyDescent="0.2">
      <c r="A31" s="129" t="s">
        <v>472</v>
      </c>
      <c r="B31" s="129" t="s">
        <v>473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300000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5">
        <v>0</v>
      </c>
      <c r="X31" s="130"/>
      <c r="Y31" s="130">
        <v>0</v>
      </c>
      <c r="Z31" s="130">
        <v>0</v>
      </c>
      <c r="AA31" s="131">
        <f t="shared" si="2"/>
        <v>300000</v>
      </c>
      <c r="AB31" s="137">
        <f t="shared" si="11"/>
        <v>6.2251351630916003E-4</v>
      </c>
    </row>
    <row r="32" spans="1:170" ht="19.5" customHeight="1" x14ac:dyDescent="0.2">
      <c r="A32" s="129" t="s">
        <v>474</v>
      </c>
      <c r="B32" s="129" t="s">
        <v>475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240000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5">
        <v>0</v>
      </c>
      <c r="X32" s="130"/>
      <c r="Y32" s="130">
        <v>0</v>
      </c>
      <c r="Z32" s="130">
        <v>0</v>
      </c>
      <c r="AA32" s="131">
        <f t="shared" si="2"/>
        <v>240000</v>
      </c>
      <c r="AB32" s="137">
        <f t="shared" si="11"/>
        <v>4.9801081304732804E-4</v>
      </c>
    </row>
    <row r="33" spans="1:170" ht="21.75" customHeight="1" x14ac:dyDescent="0.2">
      <c r="A33" s="129" t="s">
        <v>476</v>
      </c>
      <c r="B33" s="129" t="s">
        <v>477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300000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5">
        <v>0</v>
      </c>
      <c r="X33" s="130"/>
      <c r="Y33" s="130">
        <v>0</v>
      </c>
      <c r="Z33" s="130">
        <v>0</v>
      </c>
      <c r="AA33" s="131">
        <f t="shared" si="2"/>
        <v>300000</v>
      </c>
      <c r="AB33" s="137">
        <f t="shared" si="11"/>
        <v>6.2251351630916003E-4</v>
      </c>
    </row>
    <row r="34" spans="1:170" ht="36.75" customHeight="1" x14ac:dyDescent="0.2">
      <c r="A34" s="121" t="s">
        <v>478</v>
      </c>
      <c r="B34" s="122" t="s">
        <v>479</v>
      </c>
      <c r="C34" s="123">
        <f t="shared" ref="C34:H34" si="12">C35</f>
        <v>0</v>
      </c>
      <c r="D34" s="123">
        <f t="shared" si="12"/>
        <v>0</v>
      </c>
      <c r="E34" s="123">
        <f t="shared" si="12"/>
        <v>8030000</v>
      </c>
      <c r="F34" s="123">
        <f t="shared" si="12"/>
        <v>60000</v>
      </c>
      <c r="G34" s="123">
        <f t="shared" si="12"/>
        <v>0</v>
      </c>
      <c r="H34" s="123">
        <f t="shared" si="12"/>
        <v>0</v>
      </c>
      <c r="I34" s="123">
        <f>+I35</f>
        <v>0</v>
      </c>
      <c r="J34" s="123">
        <f>+J35</f>
        <v>7200</v>
      </c>
      <c r="K34" s="123">
        <f>+K35</f>
        <v>0</v>
      </c>
      <c r="L34" s="123">
        <f>+L35</f>
        <v>0</v>
      </c>
      <c r="M34" s="123">
        <f>+M35</f>
        <v>24000</v>
      </c>
      <c r="N34" s="123">
        <f>N35</f>
        <v>24000</v>
      </c>
      <c r="O34" s="123">
        <f>O35</f>
        <v>60000</v>
      </c>
      <c r="P34" s="123">
        <f>+P35+P36+P37+P38+P39</f>
        <v>0</v>
      </c>
      <c r="Q34" s="123">
        <f>Q35</f>
        <v>15000</v>
      </c>
      <c r="R34" s="123">
        <f>R35</f>
        <v>0</v>
      </c>
      <c r="S34" s="123">
        <f>S35</f>
        <v>0</v>
      </c>
      <c r="T34" s="123">
        <v>0</v>
      </c>
      <c r="U34" s="123">
        <f>+U35</f>
        <v>7200</v>
      </c>
      <c r="V34" s="123">
        <f>+V35</f>
        <v>0</v>
      </c>
      <c r="W34" s="725">
        <f>+W35</f>
        <v>0</v>
      </c>
      <c r="X34" s="123">
        <f>+X35</f>
        <v>0</v>
      </c>
      <c r="Y34" s="123">
        <f>Y35</f>
        <v>24000</v>
      </c>
      <c r="Z34" s="123">
        <f>Z35</f>
        <v>2400</v>
      </c>
      <c r="AA34" s="123">
        <f t="shared" si="2"/>
        <v>8253800</v>
      </c>
      <c r="AB34" s="124">
        <f t="shared" si="11"/>
        <v>1.7127006869708482E-2</v>
      </c>
    </row>
    <row r="35" spans="1:170" ht="34.5" customHeight="1" x14ac:dyDescent="0.2">
      <c r="A35" s="138" t="s">
        <v>480</v>
      </c>
      <c r="B35" s="139" t="s">
        <v>479</v>
      </c>
      <c r="C35" s="140">
        <f>SUM(C36:C39)</f>
        <v>0</v>
      </c>
      <c r="D35" s="140">
        <f>SUM(D36:D39)</f>
        <v>0</v>
      </c>
      <c r="E35" s="140">
        <f>SUM(E36:E39)</f>
        <v>8030000</v>
      </c>
      <c r="F35" s="140">
        <f t="shared" ref="F35:V35" si="13">SUM(F36:F39)</f>
        <v>60000</v>
      </c>
      <c r="G35" s="140">
        <f t="shared" si="13"/>
        <v>0</v>
      </c>
      <c r="H35" s="140">
        <f t="shared" si="13"/>
        <v>0</v>
      </c>
      <c r="I35" s="140">
        <f t="shared" si="13"/>
        <v>0</v>
      </c>
      <c r="J35" s="140">
        <f t="shared" si="13"/>
        <v>7200</v>
      </c>
      <c r="K35" s="140">
        <f t="shared" si="13"/>
        <v>0</v>
      </c>
      <c r="L35" s="140">
        <f t="shared" si="13"/>
        <v>0</v>
      </c>
      <c r="M35" s="140">
        <f t="shared" si="13"/>
        <v>24000</v>
      </c>
      <c r="N35" s="140">
        <f t="shared" si="13"/>
        <v>24000</v>
      </c>
      <c r="O35" s="140">
        <f t="shared" si="13"/>
        <v>60000</v>
      </c>
      <c r="P35" s="140">
        <f t="shared" si="13"/>
        <v>0</v>
      </c>
      <c r="Q35" s="140">
        <f t="shared" si="13"/>
        <v>15000</v>
      </c>
      <c r="R35" s="140">
        <f t="shared" si="13"/>
        <v>0</v>
      </c>
      <c r="S35" s="140">
        <f t="shared" si="13"/>
        <v>0</v>
      </c>
      <c r="T35" s="140">
        <f t="shared" si="13"/>
        <v>0</v>
      </c>
      <c r="U35" s="140">
        <f t="shared" si="13"/>
        <v>7200</v>
      </c>
      <c r="V35" s="140">
        <f t="shared" si="13"/>
        <v>0</v>
      </c>
      <c r="W35" s="725">
        <f>+W38</f>
        <v>0</v>
      </c>
      <c r="X35" s="140">
        <f>+X38</f>
        <v>0</v>
      </c>
      <c r="Y35" s="140">
        <f>Y36+Y37+Y38+Y39</f>
        <v>24000</v>
      </c>
      <c r="Z35" s="140">
        <f>+SUM(Z36:Z39)</f>
        <v>2400</v>
      </c>
      <c r="AA35" s="140">
        <f t="shared" si="2"/>
        <v>8253800</v>
      </c>
      <c r="AB35" s="141">
        <f t="shared" si="11"/>
        <v>1.7127006869708482E-2</v>
      </c>
    </row>
    <row r="36" spans="1:170" ht="32.25" customHeight="1" x14ac:dyDescent="0.2">
      <c r="A36" s="129" t="s">
        <v>481</v>
      </c>
      <c r="B36" s="142" t="s">
        <v>482</v>
      </c>
      <c r="C36" s="130">
        <v>0</v>
      </c>
      <c r="D36" s="130">
        <v>0</v>
      </c>
      <c r="E36" s="130">
        <v>8000000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5">
        <v>0</v>
      </c>
      <c r="X36" s="130"/>
      <c r="Y36" s="130">
        <v>0</v>
      </c>
      <c r="Z36" s="130">
        <v>0</v>
      </c>
      <c r="AA36" s="131">
        <f t="shared" si="2"/>
        <v>8000000</v>
      </c>
      <c r="AB36" s="132">
        <f t="shared" si="11"/>
        <v>1.6600360434910935E-2</v>
      </c>
    </row>
    <row r="37" spans="1:170" ht="21" customHeight="1" x14ac:dyDescent="0.2">
      <c r="A37" s="129" t="s">
        <v>483</v>
      </c>
      <c r="B37" s="129" t="s">
        <v>484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5">
        <v>0</v>
      </c>
      <c r="X37" s="130"/>
      <c r="Y37" s="130">
        <v>0</v>
      </c>
      <c r="Z37" s="130">
        <v>0</v>
      </c>
      <c r="AA37" s="131">
        <f t="shared" si="2"/>
        <v>0</v>
      </c>
      <c r="AB37" s="132">
        <f t="shared" si="11"/>
        <v>0</v>
      </c>
    </row>
    <row r="38" spans="1:170" ht="20.25" customHeight="1" x14ac:dyDescent="0.2">
      <c r="A38" s="129" t="s">
        <v>486</v>
      </c>
      <c r="B38" s="129" t="s">
        <v>487</v>
      </c>
      <c r="C38" s="130">
        <v>0</v>
      </c>
      <c r="D38" s="130">
        <v>0</v>
      </c>
      <c r="E38" s="130">
        <v>30000</v>
      </c>
      <c r="F38" s="130">
        <v>60000</v>
      </c>
      <c r="G38" s="130">
        <v>0</v>
      </c>
      <c r="H38" s="130">
        <v>0</v>
      </c>
      <c r="I38" s="130">
        <v>0</v>
      </c>
      <c r="J38" s="130">
        <v>7200</v>
      </c>
      <c r="K38" s="130">
        <v>0</v>
      </c>
      <c r="L38" s="130">
        <v>0</v>
      </c>
      <c r="M38" s="130">
        <v>24000</v>
      </c>
      <c r="N38" s="130">
        <v>24000</v>
      </c>
      <c r="O38" s="130">
        <v>60000</v>
      </c>
      <c r="P38" s="130">
        <v>0</v>
      </c>
      <c r="Q38" s="130">
        <v>15000</v>
      </c>
      <c r="R38" s="130">
        <v>0</v>
      </c>
      <c r="S38" s="130">
        <v>0</v>
      </c>
      <c r="T38" s="130"/>
      <c r="U38" s="130">
        <v>7200</v>
      </c>
      <c r="V38" s="130">
        <v>0</v>
      </c>
      <c r="W38" s="135">
        <v>0</v>
      </c>
      <c r="X38" s="130"/>
      <c r="Y38" s="130">
        <v>24000</v>
      </c>
      <c r="Z38" s="130">
        <v>2400</v>
      </c>
      <c r="AA38" s="131">
        <f t="shared" si="2"/>
        <v>253800</v>
      </c>
      <c r="AB38" s="132">
        <f t="shared" si="11"/>
        <v>5.2664643479754939E-4</v>
      </c>
    </row>
    <row r="39" spans="1:170" ht="21" customHeight="1" x14ac:dyDescent="0.2">
      <c r="A39" s="129" t="s">
        <v>488</v>
      </c>
      <c r="B39" s="129" t="s">
        <v>489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5">
        <v>0</v>
      </c>
      <c r="X39" s="130"/>
      <c r="Y39" s="130">
        <v>0</v>
      </c>
      <c r="Z39" s="130">
        <v>0</v>
      </c>
      <c r="AA39" s="131">
        <f t="shared" si="2"/>
        <v>0</v>
      </c>
      <c r="AB39" s="132">
        <f t="shared" si="11"/>
        <v>0</v>
      </c>
    </row>
    <row r="40" spans="1:170" s="120" customFormat="1" ht="21.75" customHeight="1" x14ac:dyDescent="0.2">
      <c r="A40" s="143" t="s">
        <v>490</v>
      </c>
      <c r="B40" s="143" t="s">
        <v>491</v>
      </c>
      <c r="C40" s="144">
        <f t="shared" ref="C40:H40" si="14">C41+C55</f>
        <v>1090800</v>
      </c>
      <c r="D40" s="144">
        <f t="shared" si="14"/>
        <v>1363200</v>
      </c>
      <c r="E40" s="144">
        <f t="shared" si="14"/>
        <v>30580000</v>
      </c>
      <c r="F40" s="144">
        <f t="shared" si="14"/>
        <v>100000</v>
      </c>
      <c r="G40" s="144">
        <f t="shared" si="14"/>
        <v>60000</v>
      </c>
      <c r="H40" s="144">
        <f t="shared" si="14"/>
        <v>0</v>
      </c>
      <c r="I40" s="144">
        <f>+I41+I55</f>
        <v>245280</v>
      </c>
      <c r="J40" s="144">
        <f>+J41+J55</f>
        <v>40000</v>
      </c>
      <c r="K40" s="144">
        <f>+K41+K55</f>
        <v>2377920</v>
      </c>
      <c r="L40" s="144">
        <f>+L41+L55</f>
        <v>446880</v>
      </c>
      <c r="M40" s="144">
        <f>+M41+M55</f>
        <v>70000</v>
      </c>
      <c r="N40" s="144">
        <f>N41+N55</f>
        <v>130000</v>
      </c>
      <c r="O40" s="144">
        <f>O41+O55</f>
        <v>446880</v>
      </c>
      <c r="P40" s="144">
        <f>+P41+P55</f>
        <v>0</v>
      </c>
      <c r="Q40" s="144">
        <f>Q41+Q55</f>
        <v>275000</v>
      </c>
      <c r="R40" s="144">
        <f t="shared" ref="R40:X40" si="15">+R41+R55</f>
        <v>30000</v>
      </c>
      <c r="S40" s="144">
        <f t="shared" si="15"/>
        <v>25000</v>
      </c>
      <c r="T40" s="144">
        <f t="shared" si="15"/>
        <v>200000</v>
      </c>
      <c r="U40" s="144">
        <f t="shared" si="15"/>
        <v>25000</v>
      </c>
      <c r="V40" s="144">
        <f t="shared" si="15"/>
        <v>200000</v>
      </c>
      <c r="W40" s="725">
        <f t="shared" si="15"/>
        <v>0</v>
      </c>
      <c r="X40" s="144">
        <f t="shared" si="15"/>
        <v>0</v>
      </c>
      <c r="Y40" s="144">
        <f>Y41+Y55</f>
        <v>4446880</v>
      </c>
      <c r="Z40" s="144">
        <f>Z41+Z55</f>
        <v>266880</v>
      </c>
      <c r="AA40" s="144">
        <f t="shared" si="2"/>
        <v>42419720</v>
      </c>
      <c r="AB40" s="119">
        <f t="shared" si="11"/>
        <v>8.8022830193500004E-2</v>
      </c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</row>
    <row r="41" spans="1:170" ht="18.75" customHeight="1" x14ac:dyDescent="0.2">
      <c r="A41" s="145" t="s">
        <v>492</v>
      </c>
      <c r="B41" s="145" t="s">
        <v>493</v>
      </c>
      <c r="C41" s="146">
        <f>C54+C53+C52+C51+C50+C49+C48+C47+C46+C42</f>
        <v>0</v>
      </c>
      <c r="D41" s="146">
        <f>D54+D53+D52+D51+D50+D49+D48+D47+D46+D42</f>
        <v>0</v>
      </c>
      <c r="E41" s="146">
        <f>+SUM(E42:E54)</f>
        <v>11330000</v>
      </c>
      <c r="F41" s="146">
        <f t="shared" ref="F41:AA41" si="16">+SUM(F42:F54)</f>
        <v>0</v>
      </c>
      <c r="G41" s="146">
        <f t="shared" si="16"/>
        <v>0</v>
      </c>
      <c r="H41" s="146">
        <f t="shared" si="16"/>
        <v>0</v>
      </c>
      <c r="I41" s="146">
        <f t="shared" si="16"/>
        <v>0</v>
      </c>
      <c r="J41" s="146">
        <f t="shared" si="16"/>
        <v>0</v>
      </c>
      <c r="K41" s="146">
        <f t="shared" si="16"/>
        <v>0</v>
      </c>
      <c r="L41" s="146">
        <f t="shared" si="16"/>
        <v>0</v>
      </c>
      <c r="M41" s="146">
        <f t="shared" si="16"/>
        <v>0</v>
      </c>
      <c r="N41" s="146">
        <f t="shared" si="16"/>
        <v>0</v>
      </c>
      <c r="O41" s="146">
        <f t="shared" si="16"/>
        <v>0</v>
      </c>
      <c r="P41" s="146">
        <f t="shared" si="16"/>
        <v>0</v>
      </c>
      <c r="Q41" s="146">
        <f t="shared" si="16"/>
        <v>250000</v>
      </c>
      <c r="R41" s="146">
        <f t="shared" si="16"/>
        <v>0</v>
      </c>
      <c r="S41" s="146">
        <f t="shared" si="16"/>
        <v>0</v>
      </c>
      <c r="T41" s="146">
        <f t="shared" si="16"/>
        <v>0</v>
      </c>
      <c r="U41" s="146">
        <f t="shared" si="16"/>
        <v>0</v>
      </c>
      <c r="V41" s="146">
        <f t="shared" si="16"/>
        <v>0</v>
      </c>
      <c r="W41" s="725">
        <f t="shared" si="16"/>
        <v>0</v>
      </c>
      <c r="X41" s="146">
        <f t="shared" si="16"/>
        <v>0</v>
      </c>
      <c r="Y41" s="146">
        <f t="shared" si="16"/>
        <v>0</v>
      </c>
      <c r="Z41" s="146">
        <f t="shared" si="16"/>
        <v>0</v>
      </c>
      <c r="AA41" s="146">
        <f t="shared" si="16"/>
        <v>11580000</v>
      </c>
      <c r="AB41" s="124">
        <f t="shared" si="11"/>
        <v>2.4029021729533577E-2</v>
      </c>
    </row>
    <row r="42" spans="1:170" ht="21" customHeight="1" x14ac:dyDescent="0.2">
      <c r="A42" s="129" t="s">
        <v>494</v>
      </c>
      <c r="B42" s="129" t="s">
        <v>495</v>
      </c>
      <c r="C42" s="130">
        <v>0</v>
      </c>
      <c r="D42" s="130">
        <v>0</v>
      </c>
      <c r="E42" s="130">
        <v>100000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5">
        <v>0</v>
      </c>
      <c r="X42" s="130"/>
      <c r="Y42" s="130">
        <v>0</v>
      </c>
      <c r="Z42" s="130">
        <v>0</v>
      </c>
      <c r="AA42" s="131">
        <f t="shared" ref="AA42:AA72" si="17">+SUM(C42:Z42)</f>
        <v>100000</v>
      </c>
      <c r="AB42" s="132">
        <f t="shared" si="11"/>
        <v>2.0750450543638668E-4</v>
      </c>
    </row>
    <row r="43" spans="1:170" ht="15.75" x14ac:dyDescent="0.2">
      <c r="A43" s="129" t="s">
        <v>496</v>
      </c>
      <c r="B43" s="129" t="s">
        <v>497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5"/>
      <c r="X43" s="130"/>
      <c r="Y43" s="130"/>
      <c r="Z43" s="130"/>
      <c r="AA43" s="131">
        <f t="shared" si="17"/>
        <v>0</v>
      </c>
      <c r="AB43" s="132">
        <f t="shared" si="11"/>
        <v>0</v>
      </c>
    </row>
    <row r="44" spans="1:170" ht="15.75" x14ac:dyDescent="0.2">
      <c r="A44" s="129" t="s">
        <v>498</v>
      </c>
      <c r="B44" s="129" t="s">
        <v>499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5"/>
      <c r="X44" s="130"/>
      <c r="Y44" s="130"/>
      <c r="Z44" s="130"/>
      <c r="AA44" s="131">
        <f t="shared" si="17"/>
        <v>0</v>
      </c>
      <c r="AB44" s="132">
        <f t="shared" si="11"/>
        <v>0</v>
      </c>
    </row>
    <row r="45" spans="1:170" ht="15.75" x14ac:dyDescent="0.2">
      <c r="A45" s="129" t="s">
        <v>501</v>
      </c>
      <c r="B45" s="129" t="s">
        <v>502</v>
      </c>
      <c r="C45" s="130"/>
      <c r="D45" s="130"/>
      <c r="E45" s="130">
        <v>30000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5"/>
      <c r="X45" s="130"/>
      <c r="Y45" s="130"/>
      <c r="Z45" s="130"/>
      <c r="AA45" s="131">
        <f t="shared" si="17"/>
        <v>30000</v>
      </c>
      <c r="AB45" s="132">
        <f t="shared" si="11"/>
        <v>6.2251351630916005E-5</v>
      </c>
    </row>
    <row r="46" spans="1:170" ht="20.25" customHeight="1" x14ac:dyDescent="0.2">
      <c r="A46" s="129" t="s">
        <v>503</v>
      </c>
      <c r="B46" s="129" t="s">
        <v>504</v>
      </c>
      <c r="C46" s="130">
        <v>0</v>
      </c>
      <c r="D46" s="130">
        <v>0</v>
      </c>
      <c r="E46" s="130">
        <v>300000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5">
        <v>0</v>
      </c>
      <c r="X46" s="130"/>
      <c r="Y46" s="130">
        <v>0</v>
      </c>
      <c r="Z46" s="130">
        <v>0</v>
      </c>
      <c r="AA46" s="130">
        <f t="shared" si="17"/>
        <v>300000</v>
      </c>
      <c r="AB46" s="132">
        <f t="shared" si="11"/>
        <v>6.2251351630916003E-4</v>
      </c>
    </row>
    <row r="47" spans="1:170" ht="24" customHeight="1" x14ac:dyDescent="0.2">
      <c r="A47" s="129" t="s">
        <v>505</v>
      </c>
      <c r="B47" s="129" t="s">
        <v>506</v>
      </c>
      <c r="C47" s="130">
        <v>0</v>
      </c>
      <c r="D47" s="130">
        <v>0</v>
      </c>
      <c r="E47" s="130">
        <v>1500000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250000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5">
        <v>0</v>
      </c>
      <c r="X47" s="130"/>
      <c r="Y47" s="130">
        <v>0</v>
      </c>
      <c r="Z47" s="130">
        <v>0</v>
      </c>
      <c r="AA47" s="131">
        <f t="shared" si="17"/>
        <v>1750000</v>
      </c>
      <c r="AB47" s="132">
        <f t="shared" si="11"/>
        <v>3.6313288451367666E-3</v>
      </c>
    </row>
    <row r="48" spans="1:170" ht="30" customHeight="1" x14ac:dyDescent="0.2">
      <c r="A48" s="129" t="s">
        <v>507</v>
      </c>
      <c r="B48" s="142" t="s">
        <v>508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5">
        <v>0</v>
      </c>
      <c r="X48" s="130"/>
      <c r="Y48" s="130">
        <v>0</v>
      </c>
      <c r="Z48" s="130">
        <v>0</v>
      </c>
      <c r="AA48" s="130">
        <f t="shared" si="17"/>
        <v>0</v>
      </c>
      <c r="AB48" s="132">
        <f t="shared" si="11"/>
        <v>0</v>
      </c>
    </row>
    <row r="49" spans="1:28" ht="24" customHeight="1" x14ac:dyDescent="0.2">
      <c r="A49" s="129" t="s">
        <v>509</v>
      </c>
      <c r="B49" s="129" t="s">
        <v>510</v>
      </c>
      <c r="C49" s="130">
        <v>0</v>
      </c>
      <c r="D49" s="130">
        <v>0</v>
      </c>
      <c r="E49" s="130">
        <v>2500000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5">
        <v>0</v>
      </c>
      <c r="X49" s="130"/>
      <c r="Y49" s="130">
        <v>0</v>
      </c>
      <c r="Z49" s="130">
        <v>0</v>
      </c>
      <c r="AA49" s="131">
        <f t="shared" si="17"/>
        <v>2500000</v>
      </c>
      <c r="AB49" s="132">
        <f t="shared" si="11"/>
        <v>5.1876126359096672E-3</v>
      </c>
    </row>
    <row r="50" spans="1:28" ht="23.25" customHeight="1" x14ac:dyDescent="0.2">
      <c r="A50" s="129" t="s">
        <v>511</v>
      </c>
      <c r="B50" s="129" t="s">
        <v>512</v>
      </c>
      <c r="C50" s="130">
        <v>0</v>
      </c>
      <c r="D50" s="130">
        <v>0</v>
      </c>
      <c r="E50" s="130">
        <v>200000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5">
        <v>0</v>
      </c>
      <c r="X50" s="130"/>
      <c r="Y50" s="130">
        <v>0</v>
      </c>
      <c r="Z50" s="130">
        <v>0</v>
      </c>
      <c r="AA50" s="131">
        <f t="shared" si="17"/>
        <v>200000</v>
      </c>
      <c r="AB50" s="132">
        <f t="shared" si="11"/>
        <v>4.1500901087277337E-4</v>
      </c>
    </row>
    <row r="51" spans="1:28" ht="25.5" customHeight="1" x14ac:dyDescent="0.2">
      <c r="A51" s="129" t="s">
        <v>513</v>
      </c>
      <c r="B51" s="129" t="s">
        <v>514</v>
      </c>
      <c r="C51" s="130">
        <v>0</v>
      </c>
      <c r="D51" s="130">
        <v>0</v>
      </c>
      <c r="E51" s="130">
        <v>5000000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5">
        <v>0</v>
      </c>
      <c r="X51" s="130"/>
      <c r="Y51" s="130">
        <v>0</v>
      </c>
      <c r="Z51" s="130">
        <v>0</v>
      </c>
      <c r="AA51" s="131">
        <f t="shared" si="17"/>
        <v>5000000</v>
      </c>
      <c r="AB51" s="132">
        <f t="shared" si="11"/>
        <v>1.0375225271819334E-2</v>
      </c>
    </row>
    <row r="52" spans="1:28" ht="33" customHeight="1" x14ac:dyDescent="0.2">
      <c r="A52" s="129" t="s">
        <v>515</v>
      </c>
      <c r="B52" s="142" t="s">
        <v>516</v>
      </c>
      <c r="C52" s="130">
        <v>0</v>
      </c>
      <c r="D52" s="130">
        <v>0</v>
      </c>
      <c r="E52" s="130">
        <v>500000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5">
        <v>0</v>
      </c>
      <c r="X52" s="130"/>
      <c r="Y52" s="130">
        <v>0</v>
      </c>
      <c r="Z52" s="130">
        <v>0</v>
      </c>
      <c r="AA52" s="131">
        <f t="shared" si="17"/>
        <v>500000</v>
      </c>
      <c r="AB52" s="132">
        <f t="shared" si="11"/>
        <v>1.0375225271819334E-3</v>
      </c>
    </row>
    <row r="53" spans="1:28" ht="31.5" customHeight="1" x14ac:dyDescent="0.2">
      <c r="A53" s="129" t="s">
        <v>517</v>
      </c>
      <c r="B53" s="142" t="s">
        <v>518</v>
      </c>
      <c r="C53" s="130">
        <v>0</v>
      </c>
      <c r="D53" s="130">
        <v>0</v>
      </c>
      <c r="E53" s="130">
        <v>1000000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5">
        <v>0</v>
      </c>
      <c r="X53" s="130"/>
      <c r="Y53" s="130">
        <v>0</v>
      </c>
      <c r="Z53" s="130">
        <v>0</v>
      </c>
      <c r="AA53" s="131">
        <f t="shared" si="17"/>
        <v>1000000</v>
      </c>
      <c r="AB53" s="132">
        <f t="shared" si="11"/>
        <v>2.0750450543638669E-3</v>
      </c>
    </row>
    <row r="54" spans="1:28" ht="21" customHeight="1" x14ac:dyDescent="0.2">
      <c r="A54" s="129" t="s">
        <v>519</v>
      </c>
      <c r="B54" s="129" t="s">
        <v>520</v>
      </c>
      <c r="C54" s="130">
        <v>0</v>
      </c>
      <c r="D54" s="130">
        <v>0</v>
      </c>
      <c r="E54" s="130">
        <v>200000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5">
        <v>0</v>
      </c>
      <c r="X54" s="130"/>
      <c r="Y54" s="130">
        <v>0</v>
      </c>
      <c r="Z54" s="130">
        <v>0</v>
      </c>
      <c r="AA54" s="131">
        <f t="shared" si="17"/>
        <v>200000</v>
      </c>
      <c r="AB54" s="132">
        <f t="shared" si="11"/>
        <v>4.1500901087277337E-4</v>
      </c>
    </row>
    <row r="55" spans="1:28" ht="24" customHeight="1" x14ac:dyDescent="0.2">
      <c r="A55" s="145" t="s">
        <v>521</v>
      </c>
      <c r="B55" s="145" t="s">
        <v>522</v>
      </c>
      <c r="C55" s="146">
        <f>C56+C57+C58+C59+C60+C61+C62+C63+C64+C67+C68+C69+C70+C71</f>
        <v>1090800</v>
      </c>
      <c r="D55" s="146">
        <f>D56+D57+D58+D59+D60+D61+D62+D63+D64+D67+D68+D69+D70+D71</f>
        <v>1363200</v>
      </c>
      <c r="E55" s="146">
        <f>+SUM(E56:E71)</f>
        <v>19250000</v>
      </c>
      <c r="F55" s="146">
        <f t="shared" ref="F55:AA55" si="18">+SUM(F56:F71)</f>
        <v>100000</v>
      </c>
      <c r="G55" s="146">
        <f t="shared" si="18"/>
        <v>60000</v>
      </c>
      <c r="H55" s="146">
        <f t="shared" si="18"/>
        <v>0</v>
      </c>
      <c r="I55" s="146">
        <f t="shared" si="18"/>
        <v>245280</v>
      </c>
      <c r="J55" s="146">
        <f t="shared" si="18"/>
        <v>40000</v>
      </c>
      <c r="K55" s="146">
        <f t="shared" si="18"/>
        <v>2377920</v>
      </c>
      <c r="L55" s="146">
        <f t="shared" si="18"/>
        <v>446880</v>
      </c>
      <c r="M55" s="146">
        <f t="shared" si="18"/>
        <v>70000</v>
      </c>
      <c r="N55" s="146">
        <f t="shared" si="18"/>
        <v>130000</v>
      </c>
      <c r="O55" s="146">
        <f t="shared" si="18"/>
        <v>446880</v>
      </c>
      <c r="P55" s="146">
        <f t="shared" si="18"/>
        <v>0</v>
      </c>
      <c r="Q55" s="146">
        <f t="shared" si="18"/>
        <v>25000</v>
      </c>
      <c r="R55" s="146">
        <f t="shared" si="18"/>
        <v>30000</v>
      </c>
      <c r="S55" s="146">
        <f t="shared" si="18"/>
        <v>25000</v>
      </c>
      <c r="T55" s="146">
        <f t="shared" si="18"/>
        <v>200000</v>
      </c>
      <c r="U55" s="146">
        <f t="shared" si="18"/>
        <v>25000</v>
      </c>
      <c r="V55" s="146">
        <f t="shared" si="18"/>
        <v>200000</v>
      </c>
      <c r="W55" s="725">
        <f t="shared" si="18"/>
        <v>0</v>
      </c>
      <c r="X55" s="146">
        <f t="shared" si="18"/>
        <v>0</v>
      </c>
      <c r="Y55" s="146">
        <f t="shared" si="18"/>
        <v>4446880</v>
      </c>
      <c r="Z55" s="146">
        <f t="shared" si="18"/>
        <v>266880</v>
      </c>
      <c r="AA55" s="146">
        <f t="shared" si="18"/>
        <v>30839720</v>
      </c>
      <c r="AB55" s="124">
        <f t="shared" si="11"/>
        <v>6.3993808463966434E-2</v>
      </c>
    </row>
    <row r="56" spans="1:28" ht="16.5" customHeight="1" x14ac:dyDescent="0.25">
      <c r="A56" s="149" t="s">
        <v>523</v>
      </c>
      <c r="B56" s="149" t="s">
        <v>524</v>
      </c>
      <c r="C56" s="130">
        <v>0</v>
      </c>
      <c r="D56" s="130">
        <v>0</v>
      </c>
      <c r="E56" s="130">
        <v>50000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5">
        <v>0</v>
      </c>
      <c r="X56" s="130"/>
      <c r="Y56" s="130">
        <v>0</v>
      </c>
      <c r="Z56" s="130">
        <v>0</v>
      </c>
      <c r="AA56" s="150">
        <f t="shared" si="17"/>
        <v>50000</v>
      </c>
      <c r="AB56" s="132">
        <f t="shared" si="11"/>
        <v>1.0375225271819334E-4</v>
      </c>
    </row>
    <row r="57" spans="1:28" ht="16.5" customHeight="1" x14ac:dyDescent="0.25">
      <c r="A57" s="149" t="s">
        <v>525</v>
      </c>
      <c r="B57" s="149" t="s">
        <v>526</v>
      </c>
      <c r="C57" s="130">
        <v>0</v>
      </c>
      <c r="D57" s="130">
        <v>0</v>
      </c>
      <c r="E57" s="130">
        <v>1200000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5">
        <v>0</v>
      </c>
      <c r="X57" s="130"/>
      <c r="Y57" s="130">
        <v>0</v>
      </c>
      <c r="Z57" s="130">
        <v>0</v>
      </c>
      <c r="AA57" s="150">
        <f t="shared" si="17"/>
        <v>1200000</v>
      </c>
      <c r="AB57" s="132">
        <f t="shared" si="11"/>
        <v>2.4900540652366401E-3</v>
      </c>
    </row>
    <row r="58" spans="1:28" ht="12.95" customHeight="1" x14ac:dyDescent="0.25">
      <c r="A58" s="149" t="s">
        <v>527</v>
      </c>
      <c r="B58" s="149" t="s">
        <v>528</v>
      </c>
      <c r="C58" s="130">
        <v>40800</v>
      </c>
      <c r="D58" s="130">
        <v>163200</v>
      </c>
      <c r="E58" s="130">
        <v>1000000</v>
      </c>
      <c r="F58" s="130">
        <v>0</v>
      </c>
      <c r="G58" s="130">
        <v>0</v>
      </c>
      <c r="H58" s="130"/>
      <c r="I58" s="130">
        <v>65280</v>
      </c>
      <c r="J58" s="130">
        <v>0</v>
      </c>
      <c r="K58" s="130">
        <v>97920</v>
      </c>
      <c r="L58" s="130">
        <v>146880</v>
      </c>
      <c r="M58" s="130">
        <v>0</v>
      </c>
      <c r="N58" s="130">
        <v>0</v>
      </c>
      <c r="O58" s="130">
        <v>146880</v>
      </c>
      <c r="P58" s="130">
        <v>0</v>
      </c>
      <c r="Q58" s="130">
        <v>0</v>
      </c>
      <c r="R58" s="130">
        <v>0</v>
      </c>
      <c r="S58" s="130">
        <v>0</v>
      </c>
      <c r="T58" s="130"/>
      <c r="U58" s="130">
        <v>0</v>
      </c>
      <c r="V58" s="130">
        <v>0</v>
      </c>
      <c r="W58" s="135">
        <v>0</v>
      </c>
      <c r="X58" s="130"/>
      <c r="Y58" s="130">
        <v>146880</v>
      </c>
      <c r="Z58" s="130">
        <v>146880</v>
      </c>
      <c r="AA58" s="150">
        <f t="shared" si="17"/>
        <v>1954720</v>
      </c>
      <c r="AB58" s="132">
        <f t="shared" si="11"/>
        <v>4.0561320686661375E-3</v>
      </c>
    </row>
    <row r="59" spans="1:28" ht="12.95" customHeight="1" x14ac:dyDescent="0.25">
      <c r="A59" s="149" t="s">
        <v>529</v>
      </c>
      <c r="B59" s="149" t="s">
        <v>530</v>
      </c>
      <c r="C59" s="130">
        <v>0</v>
      </c>
      <c r="D59" s="130">
        <v>0</v>
      </c>
      <c r="E59" s="130">
        <v>100000</v>
      </c>
      <c r="F59" s="130">
        <v>10000</v>
      </c>
      <c r="G59" s="130">
        <v>10000</v>
      </c>
      <c r="H59" s="130"/>
      <c r="I59" s="130">
        <v>30000</v>
      </c>
      <c r="J59" s="130">
        <v>10000</v>
      </c>
      <c r="K59" s="130">
        <v>30000</v>
      </c>
      <c r="L59" s="130">
        <v>50000</v>
      </c>
      <c r="M59" s="130">
        <v>20000</v>
      </c>
      <c r="N59" s="130">
        <v>50000</v>
      </c>
      <c r="O59" s="130">
        <v>50000</v>
      </c>
      <c r="P59" s="130"/>
      <c r="Q59" s="130">
        <v>10000</v>
      </c>
      <c r="R59" s="130">
        <v>10000</v>
      </c>
      <c r="S59" s="130">
        <v>10000</v>
      </c>
      <c r="T59" s="130">
        <v>50000</v>
      </c>
      <c r="U59" s="130">
        <v>10000</v>
      </c>
      <c r="V59" s="130">
        <v>50000</v>
      </c>
      <c r="W59" s="135"/>
      <c r="X59" s="130"/>
      <c r="Y59" s="130">
        <v>50000</v>
      </c>
      <c r="Z59" s="130">
        <v>50000</v>
      </c>
      <c r="AA59" s="150">
        <f t="shared" si="17"/>
        <v>600000</v>
      </c>
      <c r="AB59" s="132">
        <f t="shared" si="11"/>
        <v>1.2450270326183201E-3</v>
      </c>
    </row>
    <row r="60" spans="1:28" ht="12.75" customHeight="1" x14ac:dyDescent="0.25">
      <c r="A60" s="149" t="s">
        <v>531</v>
      </c>
      <c r="B60" s="149" t="s">
        <v>532</v>
      </c>
      <c r="C60" s="130">
        <v>0</v>
      </c>
      <c r="D60" s="130">
        <v>0</v>
      </c>
      <c r="E60" s="130">
        <v>800000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5">
        <v>0</v>
      </c>
      <c r="X60" s="130"/>
      <c r="Y60" s="130">
        <v>0</v>
      </c>
      <c r="Z60" s="130">
        <v>0</v>
      </c>
      <c r="AA60" s="150">
        <f t="shared" si="17"/>
        <v>800000</v>
      </c>
      <c r="AB60" s="132">
        <f t="shared" si="11"/>
        <v>1.6600360434910935E-3</v>
      </c>
    </row>
    <row r="61" spans="1:28" ht="16.5" customHeight="1" x14ac:dyDescent="0.25">
      <c r="A61" s="149" t="s">
        <v>533</v>
      </c>
      <c r="B61" s="149" t="s">
        <v>534</v>
      </c>
      <c r="C61" s="130">
        <v>0</v>
      </c>
      <c r="D61" s="130">
        <v>0</v>
      </c>
      <c r="E61" s="130">
        <v>1300000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5">
        <v>0</v>
      </c>
      <c r="X61" s="130"/>
      <c r="Y61" s="130">
        <v>0</v>
      </c>
      <c r="Z61" s="130">
        <v>0</v>
      </c>
      <c r="AA61" s="150">
        <f t="shared" si="17"/>
        <v>1300000</v>
      </c>
      <c r="AB61" s="132">
        <f t="shared" si="11"/>
        <v>2.6975585706730267E-3</v>
      </c>
    </row>
    <row r="62" spans="1:28" ht="15.75" customHeight="1" x14ac:dyDescent="0.25">
      <c r="A62" s="149" t="s">
        <v>535</v>
      </c>
      <c r="B62" s="149" t="s">
        <v>536</v>
      </c>
      <c r="C62" s="130">
        <v>600000</v>
      </c>
      <c r="D62" s="130">
        <v>0</v>
      </c>
      <c r="E62" s="130">
        <v>400000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5">
        <v>0</v>
      </c>
      <c r="X62" s="130"/>
      <c r="Y62" s="130">
        <v>0</v>
      </c>
      <c r="Z62" s="130">
        <v>0</v>
      </c>
      <c r="AA62" s="150">
        <f t="shared" si="17"/>
        <v>1000000</v>
      </c>
      <c r="AB62" s="132">
        <f t="shared" si="11"/>
        <v>2.0750450543638669E-3</v>
      </c>
    </row>
    <row r="63" spans="1:28" ht="16.5" customHeight="1" x14ac:dyDescent="0.25">
      <c r="A63" s="149" t="s">
        <v>537</v>
      </c>
      <c r="B63" s="149" t="s">
        <v>538</v>
      </c>
      <c r="C63" s="130">
        <v>150000</v>
      </c>
      <c r="D63" s="130">
        <v>400000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5">
        <v>0</v>
      </c>
      <c r="X63" s="130"/>
      <c r="Y63" s="130">
        <v>0</v>
      </c>
      <c r="Z63" s="130">
        <v>0</v>
      </c>
      <c r="AA63" s="150">
        <f t="shared" si="17"/>
        <v>550000</v>
      </c>
      <c r="AB63" s="132">
        <f t="shared" si="11"/>
        <v>1.1412747799001267E-3</v>
      </c>
    </row>
    <row r="64" spans="1:28" ht="15.75" x14ac:dyDescent="0.25">
      <c r="A64" s="149" t="s">
        <v>539</v>
      </c>
      <c r="B64" s="149" t="s">
        <v>540</v>
      </c>
      <c r="C64" s="130">
        <v>300000</v>
      </c>
      <c r="D64" s="130">
        <v>800000</v>
      </c>
      <c r="E64" s="130">
        <v>700000</v>
      </c>
      <c r="F64" s="130">
        <v>50000</v>
      </c>
      <c r="G64" s="130">
        <v>50000</v>
      </c>
      <c r="H64" s="130"/>
      <c r="I64" s="130">
        <v>150000</v>
      </c>
      <c r="J64" s="130">
        <v>30000</v>
      </c>
      <c r="K64" s="130">
        <v>250000</v>
      </c>
      <c r="L64" s="130">
        <v>250000</v>
      </c>
      <c r="M64" s="130">
        <v>50000</v>
      </c>
      <c r="N64" s="130">
        <v>80000</v>
      </c>
      <c r="O64" s="130">
        <v>250000</v>
      </c>
      <c r="P64" s="130"/>
      <c r="Q64" s="130">
        <v>15000</v>
      </c>
      <c r="R64" s="130">
        <v>20000</v>
      </c>
      <c r="S64" s="130">
        <v>15000</v>
      </c>
      <c r="T64" s="130">
        <v>150000</v>
      </c>
      <c r="U64" s="130">
        <v>15000</v>
      </c>
      <c r="V64" s="130">
        <v>150000</v>
      </c>
      <c r="W64" s="135"/>
      <c r="X64" s="130"/>
      <c r="Y64" s="130">
        <v>150000</v>
      </c>
      <c r="Z64" s="130">
        <v>70000</v>
      </c>
      <c r="AA64" s="150">
        <f t="shared" si="17"/>
        <v>3545000</v>
      </c>
      <c r="AB64" s="132">
        <f t="shared" si="11"/>
        <v>7.3560347177199078E-3</v>
      </c>
    </row>
    <row r="65" spans="1:170" ht="14.25" customHeight="1" x14ac:dyDescent="0.25">
      <c r="A65" s="149" t="s">
        <v>541</v>
      </c>
      <c r="B65" s="149" t="s">
        <v>542</v>
      </c>
      <c r="C65" s="130" t="e">
        <v>#N/A</v>
      </c>
      <c r="D65" s="130" t="e">
        <v>#N/A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5"/>
      <c r="X65" s="130"/>
      <c r="Y65" s="130"/>
      <c r="Z65" s="130"/>
      <c r="AA65" s="150"/>
      <c r="AB65" s="132">
        <f t="shared" si="11"/>
        <v>0</v>
      </c>
    </row>
    <row r="66" spans="1:170" ht="13.5" customHeight="1" x14ac:dyDescent="0.25">
      <c r="A66" s="149" t="s">
        <v>543</v>
      </c>
      <c r="B66" s="149" t="s">
        <v>544</v>
      </c>
      <c r="C66" s="130">
        <v>0</v>
      </c>
      <c r="D66" s="130">
        <v>0</v>
      </c>
      <c r="E66" s="130">
        <v>100000</v>
      </c>
      <c r="F66" s="130">
        <v>40000</v>
      </c>
      <c r="G66" s="130">
        <v>0</v>
      </c>
      <c r="H66" s="130">
        <v>0</v>
      </c>
      <c r="I66" s="130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/>
      <c r="Y66" s="135">
        <v>0</v>
      </c>
      <c r="Z66" s="135">
        <v>0</v>
      </c>
      <c r="AA66" s="150">
        <f t="shared" si="17"/>
        <v>140000</v>
      </c>
      <c r="AB66" s="132">
        <f t="shared" si="11"/>
        <v>2.9050630761094133E-4</v>
      </c>
    </row>
    <row r="67" spans="1:170" ht="13.5" customHeight="1" x14ac:dyDescent="0.25">
      <c r="A67" s="149" t="s">
        <v>543</v>
      </c>
      <c r="B67" s="149" t="s">
        <v>545</v>
      </c>
      <c r="C67" s="130">
        <v>0</v>
      </c>
      <c r="D67" s="130">
        <v>0</v>
      </c>
      <c r="E67" s="130">
        <v>100000</v>
      </c>
      <c r="F67" s="130"/>
      <c r="G67" s="130">
        <v>0</v>
      </c>
      <c r="H67" s="130">
        <v>0</v>
      </c>
      <c r="I67" s="130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/>
      <c r="Y67" s="135">
        <v>0</v>
      </c>
      <c r="Z67" s="135">
        <v>0</v>
      </c>
      <c r="AA67" s="150">
        <f t="shared" si="17"/>
        <v>100000</v>
      </c>
      <c r="AB67" s="132">
        <f t="shared" si="11"/>
        <v>2.0750450543638668E-4</v>
      </c>
    </row>
    <row r="68" spans="1:170" ht="12.95" customHeight="1" x14ac:dyDescent="0.25">
      <c r="A68" s="149" t="s">
        <v>546</v>
      </c>
      <c r="B68" s="149" t="s">
        <v>547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/>
      <c r="Y68" s="135">
        <v>0</v>
      </c>
      <c r="Z68" s="135">
        <v>0</v>
      </c>
      <c r="AA68" s="130">
        <f t="shared" si="17"/>
        <v>0</v>
      </c>
      <c r="AB68" s="132">
        <f>AA68/$AA$9</f>
        <v>0</v>
      </c>
    </row>
    <row r="69" spans="1:170" ht="18" customHeight="1" x14ac:dyDescent="0.25">
      <c r="A69" s="149" t="s">
        <v>438</v>
      </c>
      <c r="B69" s="149" t="s">
        <v>548</v>
      </c>
      <c r="C69" s="130">
        <v>0</v>
      </c>
      <c r="D69" s="130">
        <v>0</v>
      </c>
      <c r="E69" s="130">
        <v>12000000</v>
      </c>
      <c r="F69" s="130">
        <v>0</v>
      </c>
      <c r="G69" s="130">
        <v>0</v>
      </c>
      <c r="H69" s="130">
        <v>0</v>
      </c>
      <c r="I69" s="130">
        <v>0</v>
      </c>
      <c r="J69" s="135">
        <v>0</v>
      </c>
      <c r="K69" s="135">
        <f>+GETPIVOTDATA("valor",Sheet1!$I$2,"rubrica","02.02.02.01.03.01","cc","Dir. Turismo, Investimento e Emprendedorismo")</f>
        <v>2000000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/>
      <c r="Y69" s="135">
        <f>+GETPIVOTDATA("valor",Sheet1!$I$2,"rubrica","02.02.02.01.03.01","cc","Direção de Obras")</f>
        <v>4100000</v>
      </c>
      <c r="Z69" s="135"/>
      <c r="AA69" s="150">
        <f t="shared" si="17"/>
        <v>18100000</v>
      </c>
      <c r="AB69" s="132">
        <f>AA69/$AA$9</f>
        <v>3.7558315483985985E-2</v>
      </c>
    </row>
    <row r="70" spans="1:170" ht="17.25" customHeight="1" x14ac:dyDescent="0.25">
      <c r="A70" s="149" t="s">
        <v>549</v>
      </c>
      <c r="B70" s="149" t="s">
        <v>550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5">
        <v>0</v>
      </c>
      <c r="X70" s="130"/>
      <c r="Y70" s="130">
        <v>0</v>
      </c>
      <c r="Z70" s="130">
        <v>0</v>
      </c>
      <c r="AA70" s="130">
        <f t="shared" si="17"/>
        <v>0</v>
      </c>
      <c r="AB70" s="132">
        <f>AA70/$AA$9</f>
        <v>0</v>
      </c>
    </row>
    <row r="71" spans="1:170" s="151" customFormat="1" ht="18" customHeight="1" x14ac:dyDescent="0.25">
      <c r="A71" s="129" t="s">
        <v>551</v>
      </c>
      <c r="B71" s="129" t="s">
        <v>552</v>
      </c>
      <c r="C71" s="130">
        <v>0</v>
      </c>
      <c r="D71" s="130">
        <v>0</v>
      </c>
      <c r="E71" s="130">
        <v>1500000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5">
        <v>0</v>
      </c>
      <c r="X71" s="130"/>
      <c r="Y71" s="130">
        <v>0</v>
      </c>
      <c r="Z71" s="130">
        <v>0</v>
      </c>
      <c r="AA71" s="130">
        <f t="shared" si="17"/>
        <v>1500000</v>
      </c>
      <c r="AB71" s="132">
        <f>AA71/$AA$9</f>
        <v>3.1125675815457999E-3</v>
      </c>
    </row>
    <row r="72" spans="1:170" s="120" customFormat="1" ht="15" customHeight="1" x14ac:dyDescent="0.2">
      <c r="A72" s="143" t="s">
        <v>553</v>
      </c>
      <c r="B72" s="143" t="s">
        <v>554</v>
      </c>
      <c r="C72" s="144">
        <f>C73+C74</f>
        <v>0</v>
      </c>
      <c r="D72" s="144">
        <f>D73+D74</f>
        <v>0</v>
      </c>
      <c r="E72" s="144">
        <f>E73+E74</f>
        <v>13525632</v>
      </c>
      <c r="F72" s="144">
        <f>F73+F74</f>
        <v>0</v>
      </c>
      <c r="G72" s="144">
        <f>G74</f>
        <v>0</v>
      </c>
      <c r="H72" s="144">
        <f>H74</f>
        <v>0</v>
      </c>
      <c r="I72" s="144">
        <f>+I74</f>
        <v>0</v>
      </c>
      <c r="J72" s="144">
        <f>+J74</f>
        <v>0</v>
      </c>
      <c r="K72" s="144">
        <f>+K74</f>
        <v>0</v>
      </c>
      <c r="L72" s="144">
        <f>+L74</f>
        <v>0</v>
      </c>
      <c r="M72" s="144">
        <f>+M74</f>
        <v>0</v>
      </c>
      <c r="N72" s="144">
        <f>N74</f>
        <v>0</v>
      </c>
      <c r="O72" s="144">
        <f>O74</f>
        <v>0</v>
      </c>
      <c r="P72" s="144">
        <f>+P74</f>
        <v>0</v>
      </c>
      <c r="Q72" s="144">
        <f>Q74</f>
        <v>0</v>
      </c>
      <c r="R72" s="144">
        <v>0</v>
      </c>
      <c r="S72" s="144">
        <v>0</v>
      </c>
      <c r="T72" s="144">
        <v>0</v>
      </c>
      <c r="U72" s="144">
        <v>0</v>
      </c>
      <c r="V72" s="144">
        <v>0</v>
      </c>
      <c r="W72" s="725">
        <v>0</v>
      </c>
      <c r="X72" s="144">
        <v>0</v>
      </c>
      <c r="Y72" s="144">
        <f>Y74</f>
        <v>0</v>
      </c>
      <c r="Z72" s="144">
        <f>Z74</f>
        <v>0</v>
      </c>
      <c r="AA72" s="144">
        <f t="shared" si="17"/>
        <v>13525632</v>
      </c>
      <c r="AB72" s="119">
        <f>AA72/$AA$9</f>
        <v>2.8066295788745657E-2</v>
      </c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</row>
    <row r="73" spans="1:170" ht="15" customHeight="1" x14ac:dyDescent="0.25">
      <c r="A73" s="149" t="s">
        <v>555</v>
      </c>
      <c r="B73" s="152" t="s">
        <v>556</v>
      </c>
      <c r="C73" s="153">
        <v>0</v>
      </c>
      <c r="D73" s="153">
        <v>0</v>
      </c>
      <c r="E73" s="153">
        <v>0</v>
      </c>
      <c r="F73" s="150">
        <v>0</v>
      </c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724"/>
      <c r="X73" s="150"/>
      <c r="Y73" s="150"/>
      <c r="Z73" s="150"/>
      <c r="AA73" s="154">
        <f t="shared" ref="AA73:AA104" si="19">+SUM(C73:Z73)</f>
        <v>0</v>
      </c>
      <c r="AB73" s="155"/>
    </row>
    <row r="74" spans="1:170" ht="18.75" customHeight="1" x14ac:dyDescent="0.25">
      <c r="A74" s="149" t="s">
        <v>557</v>
      </c>
      <c r="B74" s="156" t="s">
        <v>558</v>
      </c>
      <c r="C74" s="130">
        <v>0</v>
      </c>
      <c r="D74" s="130">
        <v>0</v>
      </c>
      <c r="E74" s="130">
        <f>+GETPIVOTDATA("Soma de juros",'anexo planofinanceiro'!$O$7)+SUM('anexo planofinanceiro'!D64:D65)</f>
        <v>13525632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35">
        <v>0</v>
      </c>
      <c r="X74" s="130"/>
      <c r="Y74" s="130">
        <v>0</v>
      </c>
      <c r="Z74" s="130">
        <v>0</v>
      </c>
      <c r="AA74" s="157">
        <f t="shared" si="19"/>
        <v>13525632</v>
      </c>
      <c r="AB74" s="132">
        <f>AA74/$AA$9</f>
        <v>2.8066295788745657E-2</v>
      </c>
    </row>
    <row r="75" spans="1:170" s="120" customFormat="1" ht="16.5" customHeight="1" x14ac:dyDescent="0.2">
      <c r="A75" s="158" t="s">
        <v>559</v>
      </c>
      <c r="B75" s="158" t="s">
        <v>560</v>
      </c>
      <c r="C75" s="159"/>
      <c r="D75" s="159"/>
      <c r="E75" s="15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725"/>
      <c r="X75" s="140"/>
      <c r="Y75" s="140"/>
      <c r="Z75" s="140"/>
      <c r="AA75" s="154">
        <f t="shared" si="19"/>
        <v>0</v>
      </c>
      <c r="AB75" s="155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</row>
    <row r="76" spans="1:170" ht="12.95" customHeight="1" x14ac:dyDescent="0.25">
      <c r="A76" s="160" t="s">
        <v>561</v>
      </c>
      <c r="B76" s="161" t="s">
        <v>562</v>
      </c>
      <c r="C76" s="162"/>
      <c r="D76" s="162"/>
      <c r="E76" s="162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726"/>
      <c r="X76" s="163"/>
      <c r="Y76" s="163"/>
      <c r="Z76" s="163"/>
      <c r="AA76" s="154">
        <f t="shared" si="19"/>
        <v>0</v>
      </c>
      <c r="AB76" s="155"/>
    </row>
    <row r="77" spans="1:170" ht="12.95" customHeight="1" x14ac:dyDescent="0.25">
      <c r="A77" s="149" t="s">
        <v>563</v>
      </c>
      <c r="B77" s="152" t="s">
        <v>564</v>
      </c>
      <c r="C77" s="153"/>
      <c r="D77" s="153"/>
      <c r="E77" s="153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724"/>
      <c r="X77" s="150"/>
      <c r="Y77" s="150"/>
      <c r="Z77" s="150"/>
      <c r="AA77" s="154">
        <f t="shared" si="19"/>
        <v>0</v>
      </c>
      <c r="AB77" s="155"/>
    </row>
    <row r="78" spans="1:170" ht="12.95" customHeight="1" x14ac:dyDescent="0.25">
      <c r="A78" s="149" t="s">
        <v>565</v>
      </c>
      <c r="B78" s="152" t="s">
        <v>566</v>
      </c>
      <c r="C78" s="153"/>
      <c r="D78" s="153"/>
      <c r="E78" s="153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724"/>
      <c r="X78" s="150"/>
      <c r="Y78" s="150"/>
      <c r="Z78" s="150"/>
      <c r="AA78" s="154">
        <f t="shared" si="19"/>
        <v>0</v>
      </c>
      <c r="AB78" s="155"/>
    </row>
    <row r="79" spans="1:170" ht="12.95" customHeight="1" x14ac:dyDescent="0.25">
      <c r="A79" s="160" t="s">
        <v>567</v>
      </c>
      <c r="B79" s="161" t="s">
        <v>568</v>
      </c>
      <c r="C79" s="162"/>
      <c r="D79" s="162"/>
      <c r="E79" s="162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726"/>
      <c r="X79" s="163"/>
      <c r="Y79" s="163"/>
      <c r="Z79" s="163"/>
      <c r="AA79" s="154">
        <f t="shared" si="19"/>
        <v>0</v>
      </c>
      <c r="AB79" s="155"/>
    </row>
    <row r="80" spans="1:170" ht="12.95" customHeight="1" x14ac:dyDescent="0.25">
      <c r="A80" s="149" t="s">
        <v>569</v>
      </c>
      <c r="B80" s="152" t="s">
        <v>570</v>
      </c>
      <c r="C80" s="153"/>
      <c r="D80" s="153"/>
      <c r="E80" s="153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724"/>
      <c r="X80" s="150"/>
      <c r="Y80" s="150"/>
      <c r="Z80" s="150"/>
      <c r="AA80" s="154">
        <f t="shared" si="19"/>
        <v>0</v>
      </c>
      <c r="AB80" s="155"/>
    </row>
    <row r="81" spans="1:170" ht="12.95" customHeight="1" x14ac:dyDescent="0.25">
      <c r="A81" s="149" t="s">
        <v>571</v>
      </c>
      <c r="B81" s="152" t="s">
        <v>572</v>
      </c>
      <c r="C81" s="153"/>
      <c r="D81" s="153"/>
      <c r="E81" s="153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724"/>
      <c r="X81" s="150"/>
      <c r="Y81" s="150"/>
      <c r="Z81" s="150"/>
      <c r="AA81" s="154">
        <f t="shared" si="19"/>
        <v>0</v>
      </c>
      <c r="AB81" s="155"/>
    </row>
    <row r="82" spans="1:170" s="120" customFormat="1" ht="14.25" customHeight="1" x14ac:dyDescent="0.2">
      <c r="A82" s="143" t="s">
        <v>573</v>
      </c>
      <c r="B82" s="143" t="s">
        <v>574</v>
      </c>
      <c r="C82" s="144">
        <f t="shared" ref="C82:Q82" si="20">C87</f>
        <v>0</v>
      </c>
      <c r="D82" s="144">
        <f t="shared" si="20"/>
        <v>0</v>
      </c>
      <c r="E82" s="144">
        <f t="shared" si="20"/>
        <v>500000</v>
      </c>
      <c r="F82" s="144">
        <f t="shared" si="20"/>
        <v>0</v>
      </c>
      <c r="G82" s="144">
        <f t="shared" si="20"/>
        <v>0</v>
      </c>
      <c r="H82" s="144">
        <f t="shared" si="20"/>
        <v>0</v>
      </c>
      <c r="I82" s="144">
        <f>+I87</f>
        <v>0</v>
      </c>
      <c r="J82" s="144">
        <f>+J87</f>
        <v>0</v>
      </c>
      <c r="K82" s="144">
        <f>+K87</f>
        <v>0</v>
      </c>
      <c r="L82" s="144">
        <f>+L87</f>
        <v>0</v>
      </c>
      <c r="M82" s="144">
        <f>+M87</f>
        <v>0</v>
      </c>
      <c r="N82" s="144">
        <f t="shared" si="20"/>
        <v>0</v>
      </c>
      <c r="O82" s="144">
        <f t="shared" si="20"/>
        <v>0</v>
      </c>
      <c r="P82" s="144">
        <f>+P87</f>
        <v>0</v>
      </c>
      <c r="Q82" s="144">
        <f t="shared" si="20"/>
        <v>0</v>
      </c>
      <c r="R82" s="144">
        <f t="shared" ref="R82:Z82" si="21">+R87</f>
        <v>0</v>
      </c>
      <c r="S82" s="144">
        <f t="shared" si="21"/>
        <v>0</v>
      </c>
      <c r="T82" s="144">
        <f t="shared" si="21"/>
        <v>0</v>
      </c>
      <c r="U82" s="144">
        <f t="shared" si="21"/>
        <v>0</v>
      </c>
      <c r="V82" s="144">
        <f t="shared" si="21"/>
        <v>0</v>
      </c>
      <c r="W82" s="725">
        <f t="shared" si="21"/>
        <v>0</v>
      </c>
      <c r="X82" s="144">
        <f t="shared" si="21"/>
        <v>0</v>
      </c>
      <c r="Y82" s="144">
        <f t="shared" si="21"/>
        <v>0</v>
      </c>
      <c r="Z82" s="144">
        <f t="shared" si="21"/>
        <v>0</v>
      </c>
      <c r="AA82" s="144">
        <f t="shared" si="19"/>
        <v>500000</v>
      </c>
      <c r="AB82" s="119">
        <f>AA82/$AA$9</f>
        <v>1.0375225271819334E-3</v>
      </c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</row>
    <row r="83" spans="1:170" ht="12.95" customHeight="1" x14ac:dyDescent="0.25">
      <c r="A83" s="160" t="s">
        <v>575</v>
      </c>
      <c r="B83" s="161" t="s">
        <v>576</v>
      </c>
      <c r="C83" s="162"/>
      <c r="D83" s="162"/>
      <c r="E83" s="16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726"/>
      <c r="X83" s="163"/>
      <c r="Y83" s="163"/>
      <c r="Z83" s="163"/>
      <c r="AA83" s="154">
        <f t="shared" si="19"/>
        <v>0</v>
      </c>
      <c r="AB83" s="155"/>
    </row>
    <row r="84" spans="1:170" ht="12.95" customHeight="1" x14ac:dyDescent="0.25">
      <c r="A84" s="149" t="s">
        <v>577</v>
      </c>
      <c r="B84" s="152" t="s">
        <v>578</v>
      </c>
      <c r="C84" s="153"/>
      <c r="D84" s="153"/>
      <c r="E84" s="153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724"/>
      <c r="X84" s="150"/>
      <c r="Y84" s="150"/>
      <c r="Z84" s="150"/>
      <c r="AA84" s="154">
        <f t="shared" si="19"/>
        <v>0</v>
      </c>
      <c r="AB84" s="155"/>
    </row>
    <row r="85" spans="1:170" ht="12.95" customHeight="1" x14ac:dyDescent="0.25">
      <c r="A85" s="149" t="s">
        <v>579</v>
      </c>
      <c r="B85" s="152" t="s">
        <v>580</v>
      </c>
      <c r="C85" s="153"/>
      <c r="D85" s="153"/>
      <c r="E85" s="153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724"/>
      <c r="X85" s="150"/>
      <c r="Y85" s="150"/>
      <c r="Z85" s="150"/>
      <c r="AA85" s="154">
        <f t="shared" si="19"/>
        <v>0</v>
      </c>
      <c r="AB85" s="155"/>
    </row>
    <row r="86" spans="1:170" ht="12.95" customHeight="1" x14ac:dyDescent="0.25">
      <c r="A86" s="149" t="s">
        <v>581</v>
      </c>
      <c r="B86" s="152" t="s">
        <v>327</v>
      </c>
      <c r="C86" s="153"/>
      <c r="D86" s="153"/>
      <c r="E86" s="153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724"/>
      <c r="X86" s="150"/>
      <c r="Y86" s="150"/>
      <c r="Z86" s="150"/>
      <c r="AA86" s="154">
        <f t="shared" si="19"/>
        <v>0</v>
      </c>
      <c r="AB86" s="155"/>
    </row>
    <row r="87" spans="1:170" ht="14.25" customHeight="1" x14ac:dyDescent="0.25">
      <c r="A87" s="164" t="s">
        <v>582</v>
      </c>
      <c r="B87" s="165" t="s">
        <v>583</v>
      </c>
      <c r="C87" s="163">
        <f>C91</f>
        <v>0</v>
      </c>
      <c r="D87" s="163">
        <f>D91</f>
        <v>0</v>
      </c>
      <c r="E87" s="163">
        <f>E91</f>
        <v>500000</v>
      </c>
      <c r="F87" s="163">
        <f>F91</f>
        <v>0</v>
      </c>
      <c r="G87" s="163">
        <f>G88</f>
        <v>0</v>
      </c>
      <c r="H87" s="163">
        <f>H88</f>
        <v>0</v>
      </c>
      <c r="I87" s="163">
        <f>+I88</f>
        <v>0</v>
      </c>
      <c r="J87" s="163">
        <f>+J88</f>
        <v>0</v>
      </c>
      <c r="K87" s="163">
        <f>+K88</f>
        <v>0</v>
      </c>
      <c r="L87" s="163">
        <f>+L88</f>
        <v>0</v>
      </c>
      <c r="M87" s="163">
        <f>+M88</f>
        <v>0</v>
      </c>
      <c r="N87" s="163">
        <f>N88</f>
        <v>0</v>
      </c>
      <c r="O87" s="163">
        <f>O88</f>
        <v>0</v>
      </c>
      <c r="P87" s="163">
        <f>+P88</f>
        <v>0</v>
      </c>
      <c r="Q87" s="163">
        <f>Q88</f>
        <v>0</v>
      </c>
      <c r="R87" s="163">
        <f t="shared" ref="R87:Z87" si="22">+R88</f>
        <v>0</v>
      </c>
      <c r="S87" s="163">
        <f t="shared" si="22"/>
        <v>0</v>
      </c>
      <c r="T87" s="163">
        <f t="shared" si="22"/>
        <v>0</v>
      </c>
      <c r="U87" s="163">
        <f t="shared" si="22"/>
        <v>0</v>
      </c>
      <c r="V87" s="163">
        <f t="shared" si="22"/>
        <v>0</v>
      </c>
      <c r="W87" s="726">
        <f t="shared" si="22"/>
        <v>0</v>
      </c>
      <c r="X87" s="163">
        <f t="shared" si="22"/>
        <v>0</v>
      </c>
      <c r="Y87" s="163">
        <f t="shared" si="22"/>
        <v>0</v>
      </c>
      <c r="Z87" s="163">
        <f t="shared" si="22"/>
        <v>0</v>
      </c>
      <c r="AA87" s="163">
        <f t="shared" si="19"/>
        <v>500000</v>
      </c>
      <c r="AB87" s="141">
        <f>AA87/$AA$9</f>
        <v>1.0375225271819334E-3</v>
      </c>
    </row>
    <row r="88" spans="1:170" s="113" customFormat="1" ht="14.25" customHeight="1" x14ac:dyDescent="0.25">
      <c r="A88" s="166" t="s">
        <v>584</v>
      </c>
      <c r="B88" s="165" t="s">
        <v>578</v>
      </c>
      <c r="C88" s="166">
        <v>0</v>
      </c>
      <c r="D88" s="166">
        <v>0</v>
      </c>
      <c r="E88" s="166">
        <f>E91</f>
        <v>500000</v>
      </c>
      <c r="F88" s="166">
        <v>0</v>
      </c>
      <c r="G88" s="166">
        <f>G91</f>
        <v>0</v>
      </c>
      <c r="H88" s="166">
        <f>H91</f>
        <v>0</v>
      </c>
      <c r="I88" s="166">
        <f>+I91</f>
        <v>0</v>
      </c>
      <c r="J88" s="166">
        <v>0</v>
      </c>
      <c r="K88" s="166">
        <f>+K91</f>
        <v>0</v>
      </c>
      <c r="L88" s="166">
        <f>+L91</f>
        <v>0</v>
      </c>
      <c r="M88" s="166">
        <f>+M91</f>
        <v>0</v>
      </c>
      <c r="N88" s="166">
        <f>N91</f>
        <v>0</v>
      </c>
      <c r="O88" s="166">
        <f>O91</f>
        <v>0</v>
      </c>
      <c r="P88" s="166">
        <f>+P91</f>
        <v>0</v>
      </c>
      <c r="Q88" s="166">
        <f>Q91</f>
        <v>0</v>
      </c>
      <c r="R88" s="166">
        <f t="shared" ref="R88:Z88" si="23">+R91</f>
        <v>0</v>
      </c>
      <c r="S88" s="166">
        <f t="shared" si="23"/>
        <v>0</v>
      </c>
      <c r="T88" s="166">
        <f t="shared" si="23"/>
        <v>0</v>
      </c>
      <c r="U88" s="166">
        <f t="shared" si="23"/>
        <v>0</v>
      </c>
      <c r="V88" s="166">
        <f t="shared" si="23"/>
        <v>0</v>
      </c>
      <c r="W88" s="182">
        <f t="shared" si="23"/>
        <v>0</v>
      </c>
      <c r="X88" s="166">
        <f t="shared" si="23"/>
        <v>0</v>
      </c>
      <c r="Y88" s="166">
        <f t="shared" si="23"/>
        <v>0</v>
      </c>
      <c r="Z88" s="166">
        <f t="shared" si="23"/>
        <v>0</v>
      </c>
      <c r="AA88" s="166">
        <f t="shared" si="19"/>
        <v>500000</v>
      </c>
      <c r="AB88" s="141">
        <f>AA88/$AA$9</f>
        <v>1.0375225271819334E-3</v>
      </c>
    </row>
    <row r="89" spans="1:170" ht="12.95" customHeight="1" x14ac:dyDescent="0.25">
      <c r="A89" s="149" t="s">
        <v>585</v>
      </c>
      <c r="B89" s="152" t="s">
        <v>586</v>
      </c>
      <c r="C89" s="153"/>
      <c r="D89" s="153"/>
      <c r="E89" s="153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724"/>
      <c r="X89" s="150"/>
      <c r="Y89" s="150"/>
      <c r="Z89" s="150"/>
      <c r="AA89" s="154">
        <f t="shared" si="19"/>
        <v>0</v>
      </c>
      <c r="AB89" s="155"/>
    </row>
    <row r="90" spans="1:170" ht="12.95" customHeight="1" x14ac:dyDescent="0.25">
      <c r="A90" s="149" t="s">
        <v>587</v>
      </c>
      <c r="B90" s="152" t="s">
        <v>588</v>
      </c>
      <c r="C90" s="153"/>
      <c r="D90" s="153"/>
      <c r="E90" s="153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724"/>
      <c r="X90" s="150"/>
      <c r="Y90" s="150"/>
      <c r="Z90" s="150"/>
      <c r="AA90" s="154">
        <f t="shared" si="19"/>
        <v>0</v>
      </c>
      <c r="AB90" s="155"/>
    </row>
    <row r="91" spans="1:170" ht="13.5" customHeight="1" x14ac:dyDescent="0.25">
      <c r="A91" s="149" t="s">
        <v>589</v>
      </c>
      <c r="B91" s="156" t="s">
        <v>590</v>
      </c>
      <c r="C91" s="130">
        <v>0</v>
      </c>
      <c r="D91" s="130">
        <v>0</v>
      </c>
      <c r="E91" s="130">
        <v>500000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5">
        <v>0</v>
      </c>
      <c r="X91" s="130"/>
      <c r="Y91" s="130">
        <v>0</v>
      </c>
      <c r="Z91" s="130">
        <v>0</v>
      </c>
      <c r="AA91" s="157">
        <f t="shared" si="19"/>
        <v>500000</v>
      </c>
      <c r="AB91" s="132">
        <f>AA91/$AA$9</f>
        <v>1.0375225271819334E-3</v>
      </c>
    </row>
    <row r="92" spans="1:170" s="120" customFormat="1" ht="14.25" customHeight="1" x14ac:dyDescent="0.2">
      <c r="A92" s="143" t="s">
        <v>591</v>
      </c>
      <c r="B92" s="143" t="s">
        <v>592</v>
      </c>
      <c r="C92" s="144">
        <f>C93+C98</f>
        <v>0</v>
      </c>
      <c r="D92" s="144">
        <f>D93</f>
        <v>0</v>
      </c>
      <c r="E92" s="144">
        <f>E93+E98</f>
        <v>0</v>
      </c>
      <c r="F92" s="144">
        <f>F98+F93</f>
        <v>0</v>
      </c>
      <c r="G92" s="144">
        <f>G93+G98</f>
        <v>0</v>
      </c>
      <c r="H92" s="144">
        <f>H93+H98</f>
        <v>0</v>
      </c>
      <c r="I92" s="144">
        <f>+I93+I95+I96+I97+I98+I99+I100</f>
        <v>0</v>
      </c>
      <c r="J92" s="144">
        <f>+J93+J95+J96+J97+J98+J99+J100</f>
        <v>0</v>
      </c>
      <c r="K92" s="144">
        <f>+K93+K95+K96+K97+K98+K99+K100</f>
        <v>0</v>
      </c>
      <c r="L92" s="144">
        <f>+L93+L95+L96+L97+L98+L99+L100</f>
        <v>0</v>
      </c>
      <c r="M92" s="144">
        <f>+M93+M98</f>
        <v>0</v>
      </c>
      <c r="N92" s="144">
        <f>N93+N98</f>
        <v>2700000</v>
      </c>
      <c r="O92" s="144">
        <f>O93+O98</f>
        <v>15000000</v>
      </c>
      <c r="P92" s="144">
        <v>0</v>
      </c>
      <c r="Q92" s="144">
        <f>Q93+Q98</f>
        <v>0</v>
      </c>
      <c r="R92" s="144">
        <v>0</v>
      </c>
      <c r="S92" s="144">
        <v>0</v>
      </c>
      <c r="T92" s="144">
        <v>0</v>
      </c>
      <c r="U92" s="144">
        <v>0</v>
      </c>
      <c r="V92" s="144">
        <v>0</v>
      </c>
      <c r="W92" s="725">
        <v>0</v>
      </c>
      <c r="X92" s="144">
        <v>0</v>
      </c>
      <c r="Y92" s="144">
        <f>Y93+Y98</f>
        <v>0</v>
      </c>
      <c r="Z92" s="144">
        <f>Z93+Z98</f>
        <v>0</v>
      </c>
      <c r="AA92" s="144">
        <f t="shared" si="19"/>
        <v>17700000</v>
      </c>
      <c r="AB92" s="119">
        <f>AA92/$AA$9</f>
        <v>3.672829746224044E-2</v>
      </c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</row>
    <row r="93" spans="1:170" s="113" customFormat="1" ht="15" customHeight="1" x14ac:dyDescent="0.25">
      <c r="A93" s="164" t="s">
        <v>593</v>
      </c>
      <c r="B93" s="166" t="s">
        <v>594</v>
      </c>
      <c r="C93" s="163">
        <f>SUM(C94:C97)</f>
        <v>0</v>
      </c>
      <c r="D93" s="163">
        <f>SUM(D94:D97)</f>
        <v>0</v>
      </c>
      <c r="E93" s="163">
        <f>SUM(E94:E97)</f>
        <v>0</v>
      </c>
      <c r="F93" s="163">
        <f>F95+F96+F97</f>
        <v>0</v>
      </c>
      <c r="G93" s="163">
        <f>G95+G96+G97</f>
        <v>0</v>
      </c>
      <c r="H93" s="163">
        <f>H95+H96+H97</f>
        <v>0</v>
      </c>
      <c r="I93" s="163">
        <v>0</v>
      </c>
      <c r="J93" s="163">
        <v>0</v>
      </c>
      <c r="K93" s="163">
        <v>0</v>
      </c>
      <c r="L93" s="163">
        <v>0</v>
      </c>
      <c r="M93" s="163">
        <f>+M95+M96+M97</f>
        <v>0</v>
      </c>
      <c r="N93" s="163">
        <f>N95+N96+N97</f>
        <v>0</v>
      </c>
      <c r="O93" s="163">
        <f>O95+O96+O97</f>
        <v>15000000</v>
      </c>
      <c r="P93" s="163">
        <v>0</v>
      </c>
      <c r="Q93" s="163">
        <f>Q95+Q96+Q97</f>
        <v>0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726">
        <v>0</v>
      </c>
      <c r="X93" s="163">
        <v>0</v>
      </c>
      <c r="Y93" s="163">
        <f>Y95+Y96+Y97</f>
        <v>0</v>
      </c>
      <c r="Z93" s="163">
        <f>Z95+Z96+Z97</f>
        <v>0</v>
      </c>
      <c r="AA93" s="163">
        <f t="shared" si="19"/>
        <v>15000000</v>
      </c>
      <c r="AB93" s="141">
        <f>AA93/$AA$9</f>
        <v>3.1125675815458002E-2</v>
      </c>
    </row>
    <row r="94" spans="1:170" ht="12.95" customHeight="1" x14ac:dyDescent="0.25">
      <c r="A94" s="149" t="s">
        <v>445</v>
      </c>
      <c r="B94" s="152" t="s">
        <v>595</v>
      </c>
      <c r="C94" s="150">
        <v>0</v>
      </c>
      <c r="D94" s="150">
        <v>0</v>
      </c>
      <c r="E94" s="150">
        <v>0</v>
      </c>
      <c r="F94" s="150">
        <v>0</v>
      </c>
      <c r="G94" s="150"/>
      <c r="H94" s="150"/>
      <c r="I94" s="150"/>
      <c r="J94" s="150"/>
      <c r="K94" s="150"/>
      <c r="L94" s="163">
        <v>0</v>
      </c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724"/>
      <c r="X94" s="150"/>
      <c r="Y94" s="150"/>
      <c r="Z94" s="150"/>
      <c r="AA94" s="154">
        <f t="shared" si="19"/>
        <v>0</v>
      </c>
      <c r="AB94" s="155"/>
    </row>
    <row r="95" spans="1:170" ht="12.95" customHeight="1" x14ac:dyDescent="0.25">
      <c r="A95" s="149" t="s">
        <v>596</v>
      </c>
      <c r="B95" s="156" t="s">
        <v>597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13200000</v>
      </c>
      <c r="P95" s="135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30">
        <v>0</v>
      </c>
      <c r="W95" s="135">
        <v>0</v>
      </c>
      <c r="X95" s="130"/>
      <c r="Y95" s="130">
        <v>0</v>
      </c>
      <c r="Z95" s="130">
        <v>0</v>
      </c>
      <c r="AA95" s="157">
        <f t="shared" si="19"/>
        <v>13200000</v>
      </c>
      <c r="AB95" s="132">
        <f t="shared" ref="AB95:AB107" si="24">AA95/$AA$9</f>
        <v>2.739059471760304E-2</v>
      </c>
    </row>
    <row r="96" spans="1:170" ht="16.5" customHeight="1" x14ac:dyDescent="0.25">
      <c r="A96" s="149" t="s">
        <v>598</v>
      </c>
      <c r="B96" s="156" t="s">
        <v>599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1800000</v>
      </c>
      <c r="P96" s="135">
        <v>0</v>
      </c>
      <c r="Q96" s="130">
        <v>0</v>
      </c>
      <c r="R96" s="130">
        <v>0</v>
      </c>
      <c r="S96" s="130">
        <v>0</v>
      </c>
      <c r="T96" s="130">
        <v>0</v>
      </c>
      <c r="U96" s="130">
        <v>0</v>
      </c>
      <c r="V96" s="130">
        <v>0</v>
      </c>
      <c r="W96" s="135">
        <v>0</v>
      </c>
      <c r="X96" s="130"/>
      <c r="Y96" s="130">
        <v>0</v>
      </c>
      <c r="Z96" s="130">
        <v>0</v>
      </c>
      <c r="AA96" s="157">
        <f t="shared" si="19"/>
        <v>1800000</v>
      </c>
      <c r="AB96" s="132">
        <f t="shared" si="24"/>
        <v>3.7350810978549602E-3</v>
      </c>
    </row>
    <row r="97" spans="1:170" ht="15" customHeight="1" x14ac:dyDescent="0.25">
      <c r="A97" s="149" t="s">
        <v>600</v>
      </c>
      <c r="B97" s="156" t="s">
        <v>601</v>
      </c>
      <c r="C97" s="130">
        <v>0</v>
      </c>
      <c r="D97" s="130">
        <v>0</v>
      </c>
      <c r="E97" s="130">
        <v>0</v>
      </c>
      <c r="F97" s="130"/>
      <c r="G97" s="130">
        <v>0</v>
      </c>
      <c r="H97" s="130">
        <v>0</v>
      </c>
      <c r="I97" s="130">
        <v>0</v>
      </c>
      <c r="J97" s="130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0">
        <v>0</v>
      </c>
      <c r="R97" s="130">
        <v>0</v>
      </c>
      <c r="S97" s="130">
        <v>0</v>
      </c>
      <c r="T97" s="130">
        <v>0</v>
      </c>
      <c r="U97" s="130">
        <v>0</v>
      </c>
      <c r="V97" s="130">
        <v>0</v>
      </c>
      <c r="W97" s="135">
        <v>0</v>
      </c>
      <c r="X97" s="130"/>
      <c r="Y97" s="130">
        <v>0</v>
      </c>
      <c r="Z97" s="130">
        <v>0</v>
      </c>
      <c r="AA97" s="157">
        <f t="shared" si="19"/>
        <v>0</v>
      </c>
      <c r="AB97" s="132">
        <f t="shared" si="24"/>
        <v>0</v>
      </c>
    </row>
    <row r="98" spans="1:170" s="113" customFormat="1" ht="12.95" customHeight="1" x14ac:dyDescent="0.25">
      <c r="A98" s="164" t="s">
        <v>602</v>
      </c>
      <c r="B98" s="166" t="s">
        <v>603</v>
      </c>
      <c r="C98" s="163">
        <f t="shared" ref="C98:H98" si="25">C99+C100</f>
        <v>0</v>
      </c>
      <c r="D98" s="163">
        <f t="shared" si="25"/>
        <v>0</v>
      </c>
      <c r="E98" s="163">
        <f t="shared" si="25"/>
        <v>0</v>
      </c>
      <c r="F98" s="163">
        <f t="shared" si="25"/>
        <v>0</v>
      </c>
      <c r="G98" s="163">
        <f t="shared" si="25"/>
        <v>0</v>
      </c>
      <c r="H98" s="163">
        <f t="shared" si="25"/>
        <v>0</v>
      </c>
      <c r="I98" s="163">
        <v>0</v>
      </c>
      <c r="J98" s="163">
        <v>0</v>
      </c>
      <c r="K98" s="726">
        <v>0</v>
      </c>
      <c r="L98" s="726">
        <v>0</v>
      </c>
      <c r="M98" s="726">
        <f>+M99</f>
        <v>0</v>
      </c>
      <c r="N98" s="726">
        <f>N99+N100</f>
        <v>2700000</v>
      </c>
      <c r="O98" s="726">
        <f>O99+O100</f>
        <v>0</v>
      </c>
      <c r="P98" s="726">
        <v>0</v>
      </c>
      <c r="Q98" s="163">
        <f>Q99+Q100</f>
        <v>0</v>
      </c>
      <c r="R98" s="163">
        <v>0</v>
      </c>
      <c r="S98" s="163">
        <v>0</v>
      </c>
      <c r="T98" s="163">
        <v>0</v>
      </c>
      <c r="U98" s="163">
        <v>0</v>
      </c>
      <c r="V98" s="163">
        <v>0</v>
      </c>
      <c r="W98" s="726">
        <v>0</v>
      </c>
      <c r="X98" s="163">
        <v>0</v>
      </c>
      <c r="Y98" s="163">
        <f>Y99+Y100</f>
        <v>0</v>
      </c>
      <c r="Z98" s="163">
        <f>Z99+Z100</f>
        <v>0</v>
      </c>
      <c r="AA98" s="154">
        <f t="shared" si="19"/>
        <v>2700000</v>
      </c>
      <c r="AB98" s="167">
        <f t="shared" si="24"/>
        <v>5.6026216467824404E-3</v>
      </c>
    </row>
    <row r="99" spans="1:170" ht="16.5" customHeight="1" x14ac:dyDescent="0.25">
      <c r="A99" s="149" t="s">
        <v>445</v>
      </c>
      <c r="B99" s="156" t="s">
        <v>604</v>
      </c>
      <c r="C99" s="130"/>
      <c r="D99" s="130"/>
      <c r="E99" s="130"/>
      <c r="F99" s="130"/>
      <c r="G99" s="130"/>
      <c r="H99" s="130"/>
      <c r="I99" s="130"/>
      <c r="J99" s="130"/>
      <c r="K99" s="135"/>
      <c r="L99" s="135"/>
      <c r="M99" s="135"/>
      <c r="N99" s="135">
        <f>+GETPIVOTDATA("valor",Sheet1!$I$2,"rubrica","02.07.02.01","cc","Direcao da Familia, Inclusão, Genero e Saúde")</f>
        <v>2700000</v>
      </c>
      <c r="O99" s="135"/>
      <c r="P99" s="135"/>
      <c r="Q99" s="130"/>
      <c r="R99" s="130"/>
      <c r="S99" s="130"/>
      <c r="T99" s="130"/>
      <c r="U99" s="130"/>
      <c r="V99" s="130"/>
      <c r="W99" s="135"/>
      <c r="X99" s="130"/>
      <c r="Y99" s="130"/>
      <c r="Z99" s="130"/>
      <c r="AA99" s="157">
        <f t="shared" si="19"/>
        <v>2700000</v>
      </c>
      <c r="AB99" s="132">
        <f t="shared" si="24"/>
        <v>5.6026216467824404E-3</v>
      </c>
    </row>
    <row r="100" spans="1:170" ht="12.95" customHeight="1" x14ac:dyDescent="0.25">
      <c r="A100" s="149" t="s">
        <v>605</v>
      </c>
      <c r="B100" s="156" t="s">
        <v>327</v>
      </c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5"/>
      <c r="X100" s="130"/>
      <c r="Y100" s="130"/>
      <c r="Z100" s="130"/>
      <c r="AA100" s="157">
        <f t="shared" si="19"/>
        <v>0</v>
      </c>
      <c r="AB100" s="132">
        <f t="shared" si="24"/>
        <v>0</v>
      </c>
    </row>
    <row r="101" spans="1:170" s="120" customFormat="1" ht="14.25" customHeight="1" x14ac:dyDescent="0.2">
      <c r="A101" s="143" t="s">
        <v>606</v>
      </c>
      <c r="B101" s="143" t="s">
        <v>607</v>
      </c>
      <c r="C101" s="144">
        <f t="shared" ref="C101:H101" si="26">SUM(C102:C107)</f>
        <v>0</v>
      </c>
      <c r="D101" s="144">
        <f t="shared" si="26"/>
        <v>0</v>
      </c>
      <c r="E101" s="144">
        <f t="shared" si="26"/>
        <v>4500000</v>
      </c>
      <c r="F101" s="144">
        <f t="shared" si="26"/>
        <v>0</v>
      </c>
      <c r="G101" s="144">
        <f t="shared" si="26"/>
        <v>0</v>
      </c>
      <c r="H101" s="144">
        <f t="shared" si="26"/>
        <v>5500000</v>
      </c>
      <c r="I101" s="144">
        <f>+I102+I103+I104+I105+I106+I107</f>
        <v>0</v>
      </c>
      <c r="J101" s="144">
        <f>+J102+J103+J104+J105+J106+J107</f>
        <v>0</v>
      </c>
      <c r="K101" s="144">
        <f>+K102+K103+K104+K105+K106+K107</f>
        <v>0</v>
      </c>
      <c r="L101" s="144">
        <f>+L102+L103+L104+L105+L106+L107</f>
        <v>0</v>
      </c>
      <c r="M101" s="144">
        <f>+M103+M104+M105+M106+M107</f>
        <v>10120000</v>
      </c>
      <c r="N101" s="144">
        <f>SUM(N102:N107)</f>
        <v>800000</v>
      </c>
      <c r="O101" s="144">
        <f>SUM(O97:O100)</f>
        <v>0</v>
      </c>
      <c r="P101" s="144">
        <f>+P102+P103+P104+P105+P106+P107</f>
        <v>0</v>
      </c>
      <c r="Q101" s="144">
        <f>SUM(Q102:Q107)</f>
        <v>0</v>
      </c>
      <c r="R101" s="144">
        <v>0</v>
      </c>
      <c r="S101" s="144">
        <v>0</v>
      </c>
      <c r="T101" s="144">
        <v>0</v>
      </c>
      <c r="U101" s="144">
        <v>0</v>
      </c>
      <c r="V101" s="144">
        <v>0</v>
      </c>
      <c r="W101" s="725">
        <v>0</v>
      </c>
      <c r="X101" s="144">
        <v>0</v>
      </c>
      <c r="Y101" s="144">
        <f>SUM(Y102:Y107)</f>
        <v>9000000</v>
      </c>
      <c r="Z101" s="144">
        <f>SUM(Z102:Z107)</f>
        <v>0</v>
      </c>
      <c r="AA101" s="144">
        <f t="shared" si="19"/>
        <v>29920000</v>
      </c>
      <c r="AB101" s="119">
        <f>AA101/$AA$9</f>
        <v>6.2085348026566893E-2</v>
      </c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</row>
    <row r="102" spans="1:170" ht="16.5" customHeight="1" x14ac:dyDescent="0.25">
      <c r="A102" s="149" t="s">
        <v>608</v>
      </c>
      <c r="B102" s="156" t="s">
        <v>609</v>
      </c>
      <c r="C102" s="130">
        <v>0</v>
      </c>
      <c r="D102" s="130">
        <v>0</v>
      </c>
      <c r="E102" s="130">
        <v>700000</v>
      </c>
      <c r="F102" s="130">
        <v>0</v>
      </c>
      <c r="G102" s="130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  <c r="X102" s="135"/>
      <c r="Y102" s="135">
        <v>0</v>
      </c>
      <c r="Z102" s="130">
        <v>0</v>
      </c>
      <c r="AA102" s="157">
        <f t="shared" si="19"/>
        <v>700000</v>
      </c>
      <c r="AB102" s="132">
        <f t="shared" si="24"/>
        <v>1.4525315380547067E-3</v>
      </c>
    </row>
    <row r="103" spans="1:170" ht="15.75" customHeight="1" x14ac:dyDescent="0.25">
      <c r="A103" s="149" t="s">
        <v>449</v>
      </c>
      <c r="B103" s="156" t="s">
        <v>607</v>
      </c>
      <c r="C103" s="130">
        <v>0</v>
      </c>
      <c r="D103" s="130">
        <v>0</v>
      </c>
      <c r="E103" s="130"/>
      <c r="F103" s="130">
        <v>0</v>
      </c>
      <c r="G103" s="130">
        <v>0</v>
      </c>
      <c r="H103" s="135">
        <f>+GETPIVOTDATA("valor",Sheet1!$I$2,"rubrica","02.08.02","cc","Dir. Juventude e Cultura ")</f>
        <v>5500000</v>
      </c>
      <c r="I103" s="135"/>
      <c r="J103" s="135">
        <v>0</v>
      </c>
      <c r="K103" s="135">
        <v>0</v>
      </c>
      <c r="L103" s="135">
        <v>0</v>
      </c>
      <c r="M103" s="135">
        <f>+GETPIVOTDATA("valor",Sheet1!$I$2,"rubrica","02.08.02","cc","Direção da Educação, Formação Profissional, Emprego")</f>
        <v>10120000</v>
      </c>
      <c r="N103" s="135">
        <f>+GETPIVOTDATA("valor",Sheet1!$I$2,"rubrica","02.08.02","cc","Direcao da Familia, Inclusão, Genero e Saúde")</f>
        <v>800000</v>
      </c>
      <c r="O103" s="135">
        <v>0</v>
      </c>
      <c r="P103" s="135"/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  <c r="X103" s="135"/>
      <c r="Y103" s="135">
        <f>+GETPIVOTDATA("valor",Sheet1!$I$2,"rubrica","02.08.02","cc","Direção de Obras")</f>
        <v>9000000</v>
      </c>
      <c r="Z103" s="130">
        <v>0</v>
      </c>
      <c r="AA103" s="157">
        <f t="shared" si="19"/>
        <v>25420000</v>
      </c>
      <c r="AB103" s="132">
        <f t="shared" si="24"/>
        <v>5.2747645281929489E-2</v>
      </c>
    </row>
    <row r="104" spans="1:170" ht="15" customHeight="1" x14ac:dyDescent="0.25">
      <c r="A104" s="149" t="s">
        <v>610</v>
      </c>
      <c r="B104" s="156" t="s">
        <v>611</v>
      </c>
      <c r="C104" s="130">
        <v>0</v>
      </c>
      <c r="D104" s="130">
        <v>0</v>
      </c>
      <c r="E104" s="130">
        <v>0</v>
      </c>
      <c r="F104" s="130">
        <v>0</v>
      </c>
      <c r="G104" s="130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  <c r="X104" s="135"/>
      <c r="Y104" s="135">
        <v>0</v>
      </c>
      <c r="Z104" s="130">
        <v>0</v>
      </c>
      <c r="AA104" s="157">
        <f t="shared" si="19"/>
        <v>0</v>
      </c>
      <c r="AB104" s="132">
        <f t="shared" si="24"/>
        <v>0</v>
      </c>
    </row>
    <row r="105" spans="1:170" ht="15.75" customHeight="1" x14ac:dyDescent="0.25">
      <c r="A105" s="149" t="s">
        <v>612</v>
      </c>
      <c r="B105" s="156" t="s">
        <v>613</v>
      </c>
      <c r="C105" s="130">
        <v>0</v>
      </c>
      <c r="D105" s="130">
        <v>0</v>
      </c>
      <c r="E105" s="130">
        <v>300000</v>
      </c>
      <c r="F105" s="130">
        <v>0</v>
      </c>
      <c r="G105" s="130">
        <v>0</v>
      </c>
      <c r="H105" s="135">
        <v>0</v>
      </c>
      <c r="I105" s="135">
        <v>0</v>
      </c>
      <c r="J105" s="135">
        <v>0</v>
      </c>
      <c r="K105" s="135">
        <v>0</v>
      </c>
      <c r="L105" s="135">
        <v>0</v>
      </c>
      <c r="M105" s="135">
        <v>0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  <c r="X105" s="135"/>
      <c r="Y105" s="135">
        <v>0</v>
      </c>
      <c r="Z105" s="130">
        <v>0</v>
      </c>
      <c r="AA105" s="157">
        <f t="shared" ref="AA105:AA136" si="27">+SUM(C105:Z105)</f>
        <v>300000</v>
      </c>
      <c r="AB105" s="132">
        <f t="shared" si="24"/>
        <v>6.2251351630916003E-4</v>
      </c>
    </row>
    <row r="106" spans="1:170" ht="18.75" customHeight="1" x14ac:dyDescent="0.25">
      <c r="A106" s="149" t="s">
        <v>614</v>
      </c>
      <c r="B106" s="156" t="s">
        <v>615</v>
      </c>
      <c r="C106" s="130">
        <v>0</v>
      </c>
      <c r="D106" s="130">
        <v>0</v>
      </c>
      <c r="E106" s="130">
        <v>500000</v>
      </c>
      <c r="F106" s="130">
        <v>0</v>
      </c>
      <c r="G106" s="130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/>
      <c r="Y106" s="135">
        <v>0</v>
      </c>
      <c r="Z106" s="130">
        <v>0</v>
      </c>
      <c r="AA106" s="157">
        <f t="shared" si="27"/>
        <v>500000</v>
      </c>
      <c r="AB106" s="132">
        <f t="shared" si="24"/>
        <v>1.0375225271819334E-3</v>
      </c>
    </row>
    <row r="107" spans="1:170" ht="15.75" customHeight="1" x14ac:dyDescent="0.25">
      <c r="A107" s="149" t="s">
        <v>616</v>
      </c>
      <c r="B107" s="156" t="s">
        <v>463</v>
      </c>
      <c r="C107" s="130">
        <v>0</v>
      </c>
      <c r="D107" s="130">
        <v>0</v>
      </c>
      <c r="E107" s="130">
        <v>3000000</v>
      </c>
      <c r="F107" s="130">
        <v>0</v>
      </c>
      <c r="G107" s="130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/>
      <c r="Y107" s="135">
        <v>0</v>
      </c>
      <c r="Z107" s="130">
        <v>0</v>
      </c>
      <c r="AA107" s="157">
        <f t="shared" si="27"/>
        <v>3000000</v>
      </c>
      <c r="AB107" s="132">
        <f t="shared" si="24"/>
        <v>6.2251351630915998E-3</v>
      </c>
    </row>
    <row r="108" spans="1:170" ht="15.75" hidden="1" x14ac:dyDescent="0.25">
      <c r="A108" s="168"/>
      <c r="B108" s="168"/>
      <c r="C108" s="169"/>
      <c r="D108" s="170"/>
      <c r="E108" s="170"/>
      <c r="F108" s="170"/>
      <c r="G108" s="170"/>
      <c r="H108" s="734"/>
      <c r="I108" s="734"/>
      <c r="J108" s="734"/>
      <c r="K108" s="734"/>
      <c r="L108" s="734"/>
      <c r="M108" s="734"/>
      <c r="N108" s="734"/>
      <c r="O108" s="734"/>
      <c r="P108" s="734"/>
      <c r="Q108" s="734"/>
      <c r="R108" s="734"/>
      <c r="S108" s="734"/>
      <c r="T108" s="734"/>
      <c r="U108" s="734"/>
      <c r="V108" s="734"/>
      <c r="W108" s="734"/>
      <c r="X108" s="734"/>
      <c r="Y108" s="734"/>
      <c r="Z108" s="170"/>
      <c r="AA108" s="154">
        <f t="shared" si="27"/>
        <v>0</v>
      </c>
      <c r="AB108" s="155"/>
    </row>
    <row r="109" spans="1:170" ht="15.75" hidden="1" x14ac:dyDescent="0.25">
      <c r="A109" s="171" t="s">
        <v>617</v>
      </c>
      <c r="B109" s="171" t="s">
        <v>618</v>
      </c>
      <c r="C109" s="164"/>
      <c r="D109" s="172"/>
      <c r="E109" s="172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83"/>
      <c r="X109" s="156"/>
      <c r="Y109" s="156"/>
      <c r="Z109" s="156"/>
      <c r="AA109" s="154">
        <f t="shared" si="27"/>
        <v>0</v>
      </c>
      <c r="AB109" s="155"/>
    </row>
    <row r="110" spans="1:170" s="113" customFormat="1" ht="15.75" hidden="1" x14ac:dyDescent="0.25">
      <c r="A110" s="171" t="s">
        <v>619</v>
      </c>
      <c r="B110" s="173" t="s">
        <v>620</v>
      </c>
      <c r="C110" s="166"/>
      <c r="D110" s="166"/>
      <c r="E110" s="172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82"/>
      <c r="X110" s="166"/>
      <c r="Y110" s="166"/>
      <c r="Z110" s="166"/>
      <c r="AA110" s="154">
        <f t="shared" si="27"/>
        <v>0</v>
      </c>
      <c r="AB110" s="155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</row>
    <row r="111" spans="1:170" ht="15.75" hidden="1" x14ac:dyDescent="0.25">
      <c r="A111" s="174" t="s">
        <v>621</v>
      </c>
      <c r="B111" s="175" t="s">
        <v>622</v>
      </c>
      <c r="C111" s="156"/>
      <c r="D111" s="156"/>
      <c r="E111" s="17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83"/>
      <c r="X111" s="156"/>
      <c r="Y111" s="156"/>
      <c r="Z111" s="156"/>
      <c r="AA111" s="154">
        <f t="shared" si="27"/>
        <v>0</v>
      </c>
      <c r="AB111" s="155"/>
    </row>
    <row r="112" spans="1:170" ht="15.75" hidden="1" x14ac:dyDescent="0.25">
      <c r="A112" s="174" t="s">
        <v>623</v>
      </c>
      <c r="B112" s="175" t="s">
        <v>624</v>
      </c>
      <c r="C112" s="156"/>
      <c r="D112" s="156"/>
      <c r="E112" s="17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83"/>
      <c r="X112" s="156"/>
      <c r="Y112" s="156"/>
      <c r="Z112" s="156"/>
      <c r="AA112" s="154">
        <f t="shared" si="27"/>
        <v>0</v>
      </c>
      <c r="AB112" s="155"/>
    </row>
    <row r="113" spans="1:170" ht="15.75" hidden="1" x14ac:dyDescent="0.25">
      <c r="A113" s="174" t="s">
        <v>625</v>
      </c>
      <c r="B113" s="175" t="s">
        <v>626</v>
      </c>
      <c r="C113" s="156"/>
      <c r="D113" s="156"/>
      <c r="E113" s="17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83"/>
      <c r="X113" s="156"/>
      <c r="Y113" s="156"/>
      <c r="Z113" s="156"/>
      <c r="AA113" s="154">
        <f t="shared" si="27"/>
        <v>0</v>
      </c>
      <c r="AB113" s="155"/>
    </row>
    <row r="114" spans="1:170" ht="15.75" hidden="1" x14ac:dyDescent="0.25">
      <c r="A114" s="174" t="s">
        <v>627</v>
      </c>
      <c r="B114" s="175" t="s">
        <v>628</v>
      </c>
      <c r="C114" s="156"/>
      <c r="D114" s="156"/>
      <c r="E114" s="17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83"/>
      <c r="X114" s="156"/>
      <c r="Y114" s="156"/>
      <c r="Z114" s="156"/>
      <c r="AA114" s="154">
        <f t="shared" si="27"/>
        <v>0</v>
      </c>
      <c r="AB114" s="155"/>
    </row>
    <row r="115" spans="1:170" ht="15.75" hidden="1" x14ac:dyDescent="0.25">
      <c r="A115" s="168" t="s">
        <v>629</v>
      </c>
      <c r="B115" s="174" t="s">
        <v>630</v>
      </c>
      <c r="C115" s="156"/>
      <c r="D115" s="156"/>
      <c r="E115" s="17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83"/>
      <c r="X115" s="156"/>
      <c r="Y115" s="156"/>
      <c r="Z115" s="156"/>
      <c r="AA115" s="154">
        <f t="shared" si="27"/>
        <v>0</v>
      </c>
      <c r="AB115" s="155"/>
    </row>
    <row r="116" spans="1:170" ht="15.75" hidden="1" x14ac:dyDescent="0.25">
      <c r="A116" s="174" t="s">
        <v>631</v>
      </c>
      <c r="B116" s="175" t="s">
        <v>632</v>
      </c>
      <c r="C116" s="156"/>
      <c r="D116" s="156"/>
      <c r="E116" s="17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83"/>
      <c r="X116" s="156"/>
      <c r="Y116" s="156"/>
      <c r="Z116" s="156"/>
      <c r="AA116" s="154">
        <f t="shared" si="27"/>
        <v>0</v>
      </c>
      <c r="AB116" s="155"/>
    </row>
    <row r="117" spans="1:170" ht="15.75" hidden="1" x14ac:dyDescent="0.25">
      <c r="A117" s="168" t="s">
        <v>633</v>
      </c>
      <c r="B117" s="174" t="s">
        <v>634</v>
      </c>
      <c r="C117" s="156"/>
      <c r="D117" s="156"/>
      <c r="E117" s="17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83"/>
      <c r="X117" s="156"/>
      <c r="Y117" s="156"/>
      <c r="Z117" s="156"/>
      <c r="AA117" s="154">
        <f t="shared" si="27"/>
        <v>0</v>
      </c>
      <c r="AB117" s="155"/>
    </row>
    <row r="118" spans="1:170" ht="15.75" hidden="1" x14ac:dyDescent="0.25">
      <c r="A118" s="168" t="s">
        <v>635</v>
      </c>
      <c r="B118" s="174" t="s">
        <v>636</v>
      </c>
      <c r="C118" s="156"/>
      <c r="D118" s="156"/>
      <c r="E118" s="17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83"/>
      <c r="X118" s="156"/>
      <c r="Y118" s="156"/>
      <c r="Z118" s="156"/>
      <c r="AA118" s="154">
        <f t="shared" si="27"/>
        <v>0</v>
      </c>
      <c r="AB118" s="155"/>
    </row>
    <row r="119" spans="1:170" s="177" customFormat="1" ht="15.75" hidden="1" x14ac:dyDescent="0.25">
      <c r="A119" s="168" t="s">
        <v>637</v>
      </c>
      <c r="B119" s="174" t="s">
        <v>638</v>
      </c>
      <c r="C119" s="156"/>
      <c r="D119" s="156"/>
      <c r="E119" s="17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83"/>
      <c r="X119" s="156"/>
      <c r="Y119" s="156"/>
      <c r="Z119" s="156"/>
      <c r="AA119" s="154">
        <f t="shared" si="27"/>
        <v>0</v>
      </c>
      <c r="AB119" s="155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</row>
    <row r="120" spans="1:170" ht="15.75" hidden="1" x14ac:dyDescent="0.25">
      <c r="A120" s="174" t="s">
        <v>639</v>
      </c>
      <c r="B120" s="175" t="s">
        <v>640</v>
      </c>
      <c r="C120" s="156"/>
      <c r="D120" s="156"/>
      <c r="E120" s="17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83"/>
      <c r="X120" s="156"/>
      <c r="Y120" s="156"/>
      <c r="Z120" s="156"/>
      <c r="AA120" s="154">
        <f t="shared" si="27"/>
        <v>0</v>
      </c>
      <c r="AB120" s="155"/>
    </row>
    <row r="121" spans="1:170" ht="15.75" hidden="1" x14ac:dyDescent="0.25">
      <c r="A121" s="168" t="s">
        <v>641</v>
      </c>
      <c r="B121" s="174" t="s">
        <v>642</v>
      </c>
      <c r="C121" s="156"/>
      <c r="D121" s="156"/>
      <c r="E121" s="17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83"/>
      <c r="X121" s="156"/>
      <c r="Y121" s="156"/>
      <c r="Z121" s="156"/>
      <c r="AA121" s="154">
        <f t="shared" si="27"/>
        <v>0</v>
      </c>
      <c r="AB121" s="155"/>
    </row>
    <row r="122" spans="1:170" ht="15.75" hidden="1" x14ac:dyDescent="0.25">
      <c r="A122" s="174" t="s">
        <v>643</v>
      </c>
      <c r="B122" s="175" t="s">
        <v>644</v>
      </c>
      <c r="C122" s="156"/>
      <c r="D122" s="156"/>
      <c r="E122" s="17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83"/>
      <c r="X122" s="156"/>
      <c r="Y122" s="156"/>
      <c r="Z122" s="156"/>
      <c r="AA122" s="154">
        <f t="shared" si="27"/>
        <v>0</v>
      </c>
      <c r="AB122" s="155"/>
    </row>
    <row r="123" spans="1:170" ht="15.75" hidden="1" x14ac:dyDescent="0.25">
      <c r="A123" s="168" t="s">
        <v>645</v>
      </c>
      <c r="B123" s="174" t="s">
        <v>646</v>
      </c>
      <c r="C123" s="156"/>
      <c r="D123" s="156"/>
      <c r="E123" s="17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83"/>
      <c r="X123" s="156"/>
      <c r="Y123" s="156"/>
      <c r="Z123" s="156"/>
      <c r="AA123" s="154">
        <f t="shared" si="27"/>
        <v>0</v>
      </c>
      <c r="AB123" s="155"/>
    </row>
    <row r="124" spans="1:170" ht="15.75" hidden="1" x14ac:dyDescent="0.25">
      <c r="A124" s="168" t="s">
        <v>647</v>
      </c>
      <c r="B124" s="174" t="s">
        <v>648</v>
      </c>
      <c r="C124" s="156"/>
      <c r="D124" s="156"/>
      <c r="E124" s="17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83"/>
      <c r="X124" s="156"/>
      <c r="Y124" s="156"/>
      <c r="Z124" s="156"/>
      <c r="AA124" s="154">
        <f t="shared" si="27"/>
        <v>0</v>
      </c>
      <c r="AB124" s="155"/>
    </row>
    <row r="125" spans="1:170" ht="15.75" hidden="1" x14ac:dyDescent="0.25">
      <c r="A125" s="168" t="s">
        <v>649</v>
      </c>
      <c r="B125" s="174" t="s">
        <v>650</v>
      </c>
      <c r="C125" s="156"/>
      <c r="D125" s="156"/>
      <c r="E125" s="17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83"/>
      <c r="X125" s="156"/>
      <c r="Y125" s="156"/>
      <c r="Z125" s="156"/>
      <c r="AA125" s="154">
        <f t="shared" si="27"/>
        <v>0</v>
      </c>
      <c r="AB125" s="155"/>
    </row>
    <row r="126" spans="1:170" ht="15.75" hidden="1" x14ac:dyDescent="0.25">
      <c r="A126" s="168" t="s">
        <v>651</v>
      </c>
      <c r="B126" s="174" t="s">
        <v>652</v>
      </c>
      <c r="C126" s="156"/>
      <c r="D126" s="156"/>
      <c r="E126" s="17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83"/>
      <c r="X126" s="156"/>
      <c r="Y126" s="156"/>
      <c r="Z126" s="156"/>
      <c r="AA126" s="154">
        <f t="shared" si="27"/>
        <v>0</v>
      </c>
      <c r="AB126" s="155"/>
    </row>
    <row r="127" spans="1:170" ht="15.75" hidden="1" x14ac:dyDescent="0.25">
      <c r="A127" s="168" t="s">
        <v>653</v>
      </c>
      <c r="B127" s="174" t="s">
        <v>654</v>
      </c>
      <c r="C127" s="156"/>
      <c r="D127" s="156"/>
      <c r="E127" s="17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83"/>
      <c r="X127" s="156"/>
      <c r="Y127" s="156"/>
      <c r="Z127" s="156"/>
      <c r="AA127" s="154">
        <f t="shared" si="27"/>
        <v>0</v>
      </c>
      <c r="AB127" s="155"/>
    </row>
    <row r="128" spans="1:170" ht="15.75" hidden="1" x14ac:dyDescent="0.25">
      <c r="A128" s="168" t="s">
        <v>655</v>
      </c>
      <c r="B128" s="174" t="s">
        <v>656</v>
      </c>
      <c r="C128" s="156"/>
      <c r="D128" s="156"/>
      <c r="E128" s="17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83"/>
      <c r="X128" s="156"/>
      <c r="Y128" s="156"/>
      <c r="Z128" s="156"/>
      <c r="AA128" s="154">
        <f t="shared" si="27"/>
        <v>0</v>
      </c>
      <c r="AB128" s="155"/>
    </row>
    <row r="129" spans="1:170" ht="15.75" hidden="1" x14ac:dyDescent="0.25">
      <c r="A129" s="174" t="s">
        <v>657</v>
      </c>
      <c r="B129" s="175" t="s">
        <v>658</v>
      </c>
      <c r="C129" s="156"/>
      <c r="D129" s="156"/>
      <c r="E129" s="17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83"/>
      <c r="X129" s="156"/>
      <c r="Y129" s="156"/>
      <c r="Z129" s="156"/>
      <c r="AA129" s="154">
        <f t="shared" si="27"/>
        <v>0</v>
      </c>
      <c r="AB129" s="155"/>
    </row>
    <row r="130" spans="1:170" ht="15.75" hidden="1" x14ac:dyDescent="0.25">
      <c r="A130" s="168" t="s">
        <v>659</v>
      </c>
      <c r="B130" s="174" t="s">
        <v>660</v>
      </c>
      <c r="C130" s="156"/>
      <c r="D130" s="156"/>
      <c r="E130" s="17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83"/>
      <c r="X130" s="156"/>
      <c r="Y130" s="156"/>
      <c r="Z130" s="156"/>
      <c r="AA130" s="154">
        <f t="shared" si="27"/>
        <v>0</v>
      </c>
      <c r="AB130" s="155"/>
    </row>
    <row r="131" spans="1:170" ht="15.75" hidden="1" x14ac:dyDescent="0.25">
      <c r="A131" s="174" t="s">
        <v>655</v>
      </c>
      <c r="B131" s="175" t="s">
        <v>661</v>
      </c>
      <c r="C131" s="156"/>
      <c r="D131" s="156"/>
      <c r="E131" s="17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83"/>
      <c r="X131" s="156"/>
      <c r="Y131" s="156"/>
      <c r="Z131" s="156"/>
      <c r="AA131" s="154">
        <f t="shared" si="27"/>
        <v>0</v>
      </c>
      <c r="AB131" s="155"/>
    </row>
    <row r="132" spans="1:170" s="113" customFormat="1" ht="15.75" hidden="1" x14ac:dyDescent="0.25">
      <c r="A132" s="171" t="s">
        <v>662</v>
      </c>
      <c r="B132" s="173" t="s">
        <v>663</v>
      </c>
      <c r="C132" s="166"/>
      <c r="D132" s="166"/>
      <c r="E132" s="172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82"/>
      <c r="X132" s="166"/>
      <c r="Y132" s="166"/>
      <c r="Z132" s="166"/>
      <c r="AA132" s="154">
        <f t="shared" si="27"/>
        <v>0</v>
      </c>
      <c r="AB132" s="155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  <c r="DS132" s="98"/>
      <c r="DT132" s="98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98"/>
      <c r="EZ132" s="98"/>
      <c r="FA132" s="98"/>
      <c r="FB132" s="98"/>
      <c r="FC132" s="98"/>
      <c r="FD132" s="98"/>
      <c r="FE132" s="98"/>
      <c r="FF132" s="98"/>
      <c r="FG132" s="98"/>
      <c r="FH132" s="98"/>
      <c r="FI132" s="98"/>
      <c r="FJ132" s="98"/>
      <c r="FK132" s="98"/>
      <c r="FL132" s="98"/>
      <c r="FM132" s="98"/>
      <c r="FN132" s="98"/>
    </row>
    <row r="133" spans="1:170" ht="15.75" hidden="1" x14ac:dyDescent="0.25">
      <c r="A133" s="174" t="s">
        <v>621</v>
      </c>
      <c r="B133" s="175" t="s">
        <v>622</v>
      </c>
      <c r="C133" s="156"/>
      <c r="D133" s="156"/>
      <c r="E133" s="17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83"/>
      <c r="X133" s="156"/>
      <c r="Y133" s="156"/>
      <c r="Z133" s="156"/>
      <c r="AA133" s="154">
        <f t="shared" si="27"/>
        <v>0</v>
      </c>
      <c r="AB133" s="155"/>
    </row>
    <row r="134" spans="1:170" ht="15.75" hidden="1" x14ac:dyDescent="0.25">
      <c r="A134" s="174" t="s">
        <v>623</v>
      </c>
      <c r="B134" s="175" t="s">
        <v>624</v>
      </c>
      <c r="C134" s="156"/>
      <c r="D134" s="156"/>
      <c r="E134" s="17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83"/>
      <c r="X134" s="156"/>
      <c r="Y134" s="156"/>
      <c r="Z134" s="156"/>
      <c r="AA134" s="154">
        <f t="shared" si="27"/>
        <v>0</v>
      </c>
      <c r="AB134" s="155"/>
    </row>
    <row r="135" spans="1:170" ht="15.75" hidden="1" x14ac:dyDescent="0.25">
      <c r="A135" s="174" t="s">
        <v>625</v>
      </c>
      <c r="B135" s="175" t="s">
        <v>626</v>
      </c>
      <c r="C135" s="156"/>
      <c r="D135" s="156"/>
      <c r="E135" s="17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83"/>
      <c r="X135" s="156"/>
      <c r="Y135" s="156"/>
      <c r="Z135" s="156"/>
      <c r="AA135" s="154">
        <f t="shared" si="27"/>
        <v>0</v>
      </c>
      <c r="AB135" s="155"/>
    </row>
    <row r="136" spans="1:170" ht="15.75" hidden="1" x14ac:dyDescent="0.25">
      <c r="A136" s="174" t="s">
        <v>627</v>
      </c>
      <c r="B136" s="175" t="s">
        <v>628</v>
      </c>
      <c r="C136" s="156"/>
      <c r="D136" s="156"/>
      <c r="E136" s="17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83"/>
      <c r="X136" s="156"/>
      <c r="Y136" s="156"/>
      <c r="Z136" s="156"/>
      <c r="AA136" s="154">
        <f t="shared" si="27"/>
        <v>0</v>
      </c>
      <c r="AB136" s="155"/>
    </row>
    <row r="137" spans="1:170" ht="15.75" hidden="1" x14ac:dyDescent="0.25">
      <c r="A137" s="168" t="s">
        <v>629</v>
      </c>
      <c r="B137" s="174" t="s">
        <v>630</v>
      </c>
      <c r="C137" s="156"/>
      <c r="D137" s="156"/>
      <c r="E137" s="17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83"/>
      <c r="X137" s="156"/>
      <c r="Y137" s="156"/>
      <c r="Z137" s="156"/>
      <c r="AA137" s="154">
        <f t="shared" ref="AA137:AA168" si="28">+SUM(C137:Z137)</f>
        <v>0</v>
      </c>
      <c r="AB137" s="155"/>
    </row>
    <row r="138" spans="1:170" ht="15.75" hidden="1" x14ac:dyDescent="0.25">
      <c r="A138" s="174" t="s">
        <v>631</v>
      </c>
      <c r="B138" s="175" t="s">
        <v>632</v>
      </c>
      <c r="C138" s="156"/>
      <c r="D138" s="156"/>
      <c r="E138" s="17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83"/>
      <c r="X138" s="156"/>
      <c r="Y138" s="156"/>
      <c r="Z138" s="156"/>
      <c r="AA138" s="154">
        <f t="shared" si="28"/>
        <v>0</v>
      </c>
      <c r="AB138" s="155"/>
    </row>
    <row r="139" spans="1:170" ht="15.75" hidden="1" x14ac:dyDescent="0.25">
      <c r="A139" s="168" t="s">
        <v>633</v>
      </c>
      <c r="B139" s="174" t="s">
        <v>634</v>
      </c>
      <c r="C139" s="156"/>
      <c r="D139" s="156"/>
      <c r="E139" s="17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83"/>
      <c r="X139" s="156"/>
      <c r="Y139" s="156"/>
      <c r="Z139" s="156"/>
      <c r="AA139" s="154">
        <f t="shared" si="28"/>
        <v>0</v>
      </c>
      <c r="AB139" s="155"/>
    </row>
    <row r="140" spans="1:170" ht="15.75" hidden="1" x14ac:dyDescent="0.25">
      <c r="A140" s="168" t="s">
        <v>635</v>
      </c>
      <c r="B140" s="174" t="s">
        <v>636</v>
      </c>
      <c r="C140" s="156"/>
      <c r="D140" s="156"/>
      <c r="E140" s="17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83"/>
      <c r="X140" s="156"/>
      <c r="Y140" s="156"/>
      <c r="Z140" s="156"/>
      <c r="AA140" s="154">
        <f t="shared" si="28"/>
        <v>0</v>
      </c>
      <c r="AB140" s="155"/>
    </row>
    <row r="141" spans="1:170" s="177" customFormat="1" ht="15.75" hidden="1" x14ac:dyDescent="0.25">
      <c r="A141" s="168" t="s">
        <v>637</v>
      </c>
      <c r="B141" s="174" t="s">
        <v>638</v>
      </c>
      <c r="C141" s="156"/>
      <c r="D141" s="156"/>
      <c r="E141" s="17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83"/>
      <c r="X141" s="156"/>
      <c r="Y141" s="156"/>
      <c r="Z141" s="156"/>
      <c r="AA141" s="154">
        <f t="shared" si="28"/>
        <v>0</v>
      </c>
      <c r="AB141" s="155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8"/>
      <c r="EK141" s="98"/>
      <c r="EL141" s="98"/>
      <c r="EM141" s="98"/>
      <c r="EN141" s="98"/>
      <c r="EO141" s="98"/>
      <c r="EP141" s="98"/>
      <c r="EQ141" s="98"/>
      <c r="ER141" s="98"/>
      <c r="ES141" s="98"/>
      <c r="ET141" s="98"/>
      <c r="EU141" s="98"/>
      <c r="EV141" s="98"/>
      <c r="EW141" s="98"/>
      <c r="EX141" s="98"/>
      <c r="EY141" s="98"/>
      <c r="EZ141" s="98"/>
      <c r="FA141" s="98"/>
      <c r="FB141" s="98"/>
      <c r="FC141" s="98"/>
      <c r="FD141" s="98"/>
      <c r="FE141" s="98"/>
      <c r="FF141" s="98"/>
      <c r="FG141" s="98"/>
      <c r="FH141" s="98"/>
      <c r="FI141" s="98"/>
      <c r="FJ141" s="98"/>
      <c r="FK141" s="98"/>
      <c r="FL141" s="98"/>
      <c r="FM141" s="98"/>
      <c r="FN141" s="98"/>
    </row>
    <row r="142" spans="1:170" ht="15.75" hidden="1" x14ac:dyDescent="0.25">
      <c r="A142" s="174" t="s">
        <v>639</v>
      </c>
      <c r="B142" s="175" t="s">
        <v>640</v>
      </c>
      <c r="C142" s="156"/>
      <c r="D142" s="156"/>
      <c r="E142" s="17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83"/>
      <c r="X142" s="156"/>
      <c r="Y142" s="156"/>
      <c r="Z142" s="156"/>
      <c r="AA142" s="154">
        <f t="shared" si="28"/>
        <v>0</v>
      </c>
      <c r="AB142" s="155"/>
    </row>
    <row r="143" spans="1:170" ht="15.75" hidden="1" x14ac:dyDescent="0.25">
      <c r="A143" s="168" t="s">
        <v>641</v>
      </c>
      <c r="B143" s="174" t="s">
        <v>642</v>
      </c>
      <c r="C143" s="156"/>
      <c r="D143" s="156"/>
      <c r="E143" s="17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83"/>
      <c r="X143" s="156"/>
      <c r="Y143" s="156"/>
      <c r="Z143" s="156"/>
      <c r="AA143" s="154">
        <f t="shared" si="28"/>
        <v>0</v>
      </c>
      <c r="AB143" s="155"/>
    </row>
    <row r="144" spans="1:170" ht="15.75" hidden="1" x14ac:dyDescent="0.25">
      <c r="A144" s="174" t="s">
        <v>643</v>
      </c>
      <c r="B144" s="175" t="s">
        <v>644</v>
      </c>
      <c r="C144" s="156"/>
      <c r="D144" s="156"/>
      <c r="E144" s="17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83"/>
      <c r="X144" s="156"/>
      <c r="Y144" s="156"/>
      <c r="Z144" s="156"/>
      <c r="AA144" s="154">
        <f t="shared" si="28"/>
        <v>0</v>
      </c>
      <c r="AB144" s="155"/>
    </row>
    <row r="145" spans="1:170" ht="15.75" hidden="1" x14ac:dyDescent="0.25">
      <c r="A145" s="168" t="s">
        <v>645</v>
      </c>
      <c r="B145" s="174" t="s">
        <v>646</v>
      </c>
      <c r="C145" s="156"/>
      <c r="D145" s="156"/>
      <c r="E145" s="17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83"/>
      <c r="X145" s="156"/>
      <c r="Y145" s="156"/>
      <c r="Z145" s="156"/>
      <c r="AA145" s="154">
        <f t="shared" si="28"/>
        <v>0</v>
      </c>
      <c r="AB145" s="155"/>
    </row>
    <row r="146" spans="1:170" ht="15.75" hidden="1" x14ac:dyDescent="0.25">
      <c r="A146" s="168" t="s">
        <v>647</v>
      </c>
      <c r="B146" s="174" t="s">
        <v>648</v>
      </c>
      <c r="C146" s="156"/>
      <c r="D146" s="156"/>
      <c r="E146" s="17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83"/>
      <c r="X146" s="156"/>
      <c r="Y146" s="156"/>
      <c r="Z146" s="156"/>
      <c r="AA146" s="154">
        <f t="shared" si="28"/>
        <v>0</v>
      </c>
      <c r="AB146" s="155"/>
    </row>
    <row r="147" spans="1:170" ht="15.75" hidden="1" x14ac:dyDescent="0.25">
      <c r="A147" s="168" t="s">
        <v>649</v>
      </c>
      <c r="B147" s="174" t="s">
        <v>650</v>
      </c>
      <c r="C147" s="156"/>
      <c r="D147" s="156"/>
      <c r="E147" s="17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83"/>
      <c r="X147" s="156"/>
      <c r="Y147" s="156"/>
      <c r="Z147" s="156"/>
      <c r="AA147" s="154">
        <f t="shared" si="28"/>
        <v>0</v>
      </c>
      <c r="AB147" s="155"/>
    </row>
    <row r="148" spans="1:170" ht="15.75" hidden="1" x14ac:dyDescent="0.25">
      <c r="A148" s="168" t="s">
        <v>651</v>
      </c>
      <c r="B148" s="174" t="s">
        <v>652</v>
      </c>
      <c r="C148" s="156"/>
      <c r="D148" s="156"/>
      <c r="E148" s="17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83"/>
      <c r="X148" s="156"/>
      <c r="Y148" s="156"/>
      <c r="Z148" s="156"/>
      <c r="AA148" s="154">
        <f t="shared" si="28"/>
        <v>0</v>
      </c>
      <c r="AB148" s="155"/>
    </row>
    <row r="149" spans="1:170" ht="15.75" hidden="1" x14ac:dyDescent="0.25">
      <c r="A149" s="168" t="s">
        <v>653</v>
      </c>
      <c r="B149" s="174" t="s">
        <v>654</v>
      </c>
      <c r="C149" s="156"/>
      <c r="D149" s="156"/>
      <c r="E149" s="17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83"/>
      <c r="X149" s="156"/>
      <c r="Y149" s="156"/>
      <c r="Z149" s="156"/>
      <c r="AA149" s="154">
        <f t="shared" si="28"/>
        <v>0</v>
      </c>
      <c r="AB149" s="155"/>
    </row>
    <row r="150" spans="1:170" ht="15.75" hidden="1" x14ac:dyDescent="0.25">
      <c r="A150" s="168" t="s">
        <v>655</v>
      </c>
      <c r="B150" s="174" t="s">
        <v>656</v>
      </c>
      <c r="C150" s="156"/>
      <c r="D150" s="156"/>
      <c r="E150" s="17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83"/>
      <c r="X150" s="156"/>
      <c r="Y150" s="156"/>
      <c r="Z150" s="156"/>
      <c r="AA150" s="154">
        <f t="shared" si="28"/>
        <v>0</v>
      </c>
      <c r="AB150" s="155"/>
    </row>
    <row r="151" spans="1:170" ht="15.75" hidden="1" x14ac:dyDescent="0.25">
      <c r="A151" s="174" t="s">
        <v>657</v>
      </c>
      <c r="B151" s="175" t="s">
        <v>658</v>
      </c>
      <c r="C151" s="156"/>
      <c r="D151" s="156"/>
      <c r="E151" s="17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83"/>
      <c r="X151" s="156"/>
      <c r="Y151" s="156"/>
      <c r="Z151" s="156"/>
      <c r="AA151" s="154">
        <f t="shared" si="28"/>
        <v>0</v>
      </c>
      <c r="AB151" s="155"/>
    </row>
    <row r="152" spans="1:170" ht="15.75" hidden="1" x14ac:dyDescent="0.25">
      <c r="A152" s="168" t="s">
        <v>659</v>
      </c>
      <c r="B152" s="174" t="s">
        <v>660</v>
      </c>
      <c r="C152" s="156"/>
      <c r="D152" s="156"/>
      <c r="E152" s="17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83"/>
      <c r="X152" s="156"/>
      <c r="Y152" s="156"/>
      <c r="Z152" s="156"/>
      <c r="AA152" s="154">
        <f t="shared" si="28"/>
        <v>0</v>
      </c>
      <c r="AB152" s="155"/>
    </row>
    <row r="153" spans="1:170" ht="15.75" hidden="1" x14ac:dyDescent="0.25">
      <c r="A153" s="174" t="s">
        <v>655</v>
      </c>
      <c r="B153" s="175" t="s">
        <v>661</v>
      </c>
      <c r="C153" s="156"/>
      <c r="D153" s="156"/>
      <c r="E153" s="17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83"/>
      <c r="X153" s="156"/>
      <c r="Y153" s="156"/>
      <c r="Z153" s="156"/>
      <c r="AA153" s="154">
        <f t="shared" si="28"/>
        <v>0</v>
      </c>
      <c r="AB153" s="155"/>
    </row>
    <row r="154" spans="1:170" ht="15.75" hidden="1" x14ac:dyDescent="0.25">
      <c r="A154" s="168" t="s">
        <v>659</v>
      </c>
      <c r="B154" s="168" t="s">
        <v>660</v>
      </c>
      <c r="C154" s="156"/>
      <c r="D154" s="156"/>
      <c r="E154" s="17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83"/>
      <c r="X154" s="156"/>
      <c r="Y154" s="156"/>
      <c r="Z154" s="156"/>
      <c r="AA154" s="154">
        <f t="shared" si="28"/>
        <v>0</v>
      </c>
      <c r="AB154" s="155"/>
    </row>
    <row r="155" spans="1:170" ht="15.75" hidden="1" x14ac:dyDescent="0.25">
      <c r="A155" s="173"/>
      <c r="B155" s="173"/>
      <c r="C155" s="156"/>
      <c r="D155" s="156"/>
      <c r="E155" s="17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83"/>
      <c r="X155" s="156"/>
      <c r="Y155" s="725"/>
      <c r="Z155" s="156"/>
      <c r="AA155" s="154">
        <f t="shared" si="28"/>
        <v>0</v>
      </c>
      <c r="AB155" s="155"/>
    </row>
    <row r="156" spans="1:170" s="120" customFormat="1" ht="16.5" customHeight="1" x14ac:dyDescent="0.2">
      <c r="A156" s="143" t="s">
        <v>664</v>
      </c>
      <c r="B156" s="143" t="s">
        <v>665</v>
      </c>
      <c r="C156" s="144">
        <f t="shared" ref="C156:H156" si="29">C157</f>
        <v>0</v>
      </c>
      <c r="D156" s="144">
        <f t="shared" si="29"/>
        <v>0</v>
      </c>
      <c r="E156" s="144">
        <f t="shared" si="29"/>
        <v>11508375</v>
      </c>
      <c r="F156" s="144">
        <f t="shared" si="29"/>
        <v>2100000</v>
      </c>
      <c r="G156" s="144">
        <f t="shared" si="29"/>
        <v>0</v>
      </c>
      <c r="H156" s="144">
        <f t="shared" si="29"/>
        <v>0</v>
      </c>
      <c r="I156" s="144">
        <f>+I157</f>
        <v>6500000</v>
      </c>
      <c r="J156" s="144">
        <f>+J167</f>
        <v>3500000</v>
      </c>
      <c r="K156" s="144">
        <f>+K158+K160+K167+K169+K171</f>
        <v>1700000</v>
      </c>
      <c r="L156" s="144">
        <f>+L157</f>
        <v>0</v>
      </c>
      <c r="M156" s="144">
        <f>+M157</f>
        <v>0</v>
      </c>
      <c r="N156" s="144">
        <f>N157</f>
        <v>17000000</v>
      </c>
      <c r="O156" s="144">
        <f>O157</f>
        <v>0</v>
      </c>
      <c r="P156" s="144">
        <f>+P167</f>
        <v>0</v>
      </c>
      <c r="Q156" s="144">
        <f>Q157</f>
        <v>0</v>
      </c>
      <c r="R156" s="144">
        <v>0</v>
      </c>
      <c r="S156" s="144">
        <v>0</v>
      </c>
      <c r="T156" s="144">
        <v>0</v>
      </c>
      <c r="U156" s="144">
        <f>+U167</f>
        <v>0</v>
      </c>
      <c r="V156" s="144">
        <f>+V167</f>
        <v>0</v>
      </c>
      <c r="W156" s="144">
        <f>+W167</f>
        <v>0</v>
      </c>
      <c r="X156" s="144">
        <f>+X167</f>
        <v>0</v>
      </c>
      <c r="Y156" s="744">
        <f>Y157</f>
        <v>209750000</v>
      </c>
      <c r="Z156" s="744">
        <f>Z157</f>
        <v>0</v>
      </c>
      <c r="AA156" s="744">
        <f t="shared" si="28"/>
        <v>252058375</v>
      </c>
      <c r="AB156" s="119">
        <f>AA156/$AA$9</f>
        <v>0.52303248445474293</v>
      </c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  <c r="DS156" s="98"/>
      <c r="DT156" s="98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98"/>
      <c r="EZ156" s="98"/>
      <c r="FA156" s="98"/>
      <c r="FB156" s="98"/>
      <c r="FC156" s="98"/>
      <c r="FD156" s="98"/>
      <c r="FE156" s="98"/>
      <c r="FF156" s="98"/>
      <c r="FG156" s="98"/>
      <c r="FH156" s="98"/>
      <c r="FI156" s="98"/>
      <c r="FJ156" s="98"/>
      <c r="FK156" s="98"/>
      <c r="FL156" s="98"/>
      <c r="FM156" s="98"/>
      <c r="FN156" s="98"/>
    </row>
    <row r="157" spans="1:170" ht="14.25" customHeight="1" x14ac:dyDescent="0.25">
      <c r="A157" s="164" t="s">
        <v>666</v>
      </c>
      <c r="B157" s="164" t="s">
        <v>667</v>
      </c>
      <c r="C157" s="163">
        <f>C158+C160+C162+C171</f>
        <v>0</v>
      </c>
      <c r="D157" s="163">
        <f>D160+D167+D162+D165+D158+D171</f>
        <v>0</v>
      </c>
      <c r="E157" s="163">
        <f>E158+E160+E162+E171+E169</f>
        <v>11508375</v>
      </c>
      <c r="F157" s="163">
        <f>F158+F160+F162+F171</f>
        <v>2100000</v>
      </c>
      <c r="G157" s="163">
        <f>G158+G160+G162+G171</f>
        <v>0</v>
      </c>
      <c r="H157" s="163">
        <f>H158+H160+H162+H171</f>
        <v>0</v>
      </c>
      <c r="I157" s="163">
        <f>+I160+I167</f>
        <v>6500000</v>
      </c>
      <c r="J157" s="163">
        <v>0</v>
      </c>
      <c r="K157" s="163"/>
      <c r="L157" s="163">
        <f>+L158+L160+L165+L167</f>
        <v>0</v>
      </c>
      <c r="M157" s="163">
        <f>+M158+M165+M167</f>
        <v>0</v>
      </c>
      <c r="N157" s="163">
        <f>N158+N160+N162+N171</f>
        <v>17000000</v>
      </c>
      <c r="O157" s="163">
        <f>O158+O160+O162+O171</f>
        <v>0</v>
      </c>
      <c r="P157" s="163">
        <v>0</v>
      </c>
      <c r="Q157" s="163">
        <f>Q158+Q160+Q162+Q171</f>
        <v>0</v>
      </c>
      <c r="R157" s="163">
        <v>0</v>
      </c>
      <c r="S157" s="163">
        <v>0</v>
      </c>
      <c r="T157" s="163">
        <v>0</v>
      </c>
      <c r="U157" s="163">
        <v>0</v>
      </c>
      <c r="V157" s="163">
        <v>0</v>
      </c>
      <c r="W157" s="726">
        <v>0</v>
      </c>
      <c r="X157" s="726">
        <v>0</v>
      </c>
      <c r="Y157" s="726">
        <f>Y158+Y160+Y162+Y171</f>
        <v>209750000</v>
      </c>
      <c r="Z157" s="726">
        <f>Z158+Z160+Z162+Z171</f>
        <v>0</v>
      </c>
      <c r="AA157" s="726">
        <f t="shared" si="28"/>
        <v>246858375</v>
      </c>
      <c r="AB157" s="141">
        <f>AA157/$AA$9</f>
        <v>0.51224225017205083</v>
      </c>
    </row>
    <row r="158" spans="1:170" s="113" customFormat="1" ht="15" customHeight="1" x14ac:dyDescent="0.25">
      <c r="A158" s="166" t="s">
        <v>668</v>
      </c>
      <c r="B158" s="165" t="s">
        <v>669</v>
      </c>
      <c r="C158" s="166">
        <f>C159</f>
        <v>0</v>
      </c>
      <c r="D158" s="166">
        <f>SUM(D159)</f>
        <v>0</v>
      </c>
      <c r="E158" s="166">
        <f>SUM(E159)</f>
        <v>0</v>
      </c>
      <c r="F158" s="166">
        <f>SUM(F159)</f>
        <v>0</v>
      </c>
      <c r="G158" s="166">
        <f>G159</f>
        <v>0</v>
      </c>
      <c r="H158" s="166">
        <f>H159</f>
        <v>0</v>
      </c>
      <c r="I158" s="166">
        <v>0</v>
      </c>
      <c r="J158" s="166">
        <v>0</v>
      </c>
      <c r="K158" s="166">
        <f>+K159</f>
        <v>0</v>
      </c>
      <c r="L158" s="166">
        <f>+L159</f>
        <v>0</v>
      </c>
      <c r="M158" s="166">
        <f>+M159</f>
        <v>0</v>
      </c>
      <c r="N158" s="166">
        <f>N159</f>
        <v>0</v>
      </c>
      <c r="O158" s="166">
        <f>O159</f>
        <v>0</v>
      </c>
      <c r="P158" s="166">
        <v>0</v>
      </c>
      <c r="Q158" s="166">
        <f>Q159</f>
        <v>0</v>
      </c>
      <c r="R158" s="166">
        <v>0</v>
      </c>
      <c r="S158" s="166">
        <v>0</v>
      </c>
      <c r="T158" s="166">
        <v>0</v>
      </c>
      <c r="U158" s="166">
        <v>0</v>
      </c>
      <c r="V158" s="166">
        <v>0</v>
      </c>
      <c r="W158" s="182">
        <v>0</v>
      </c>
      <c r="X158" s="182">
        <v>0</v>
      </c>
      <c r="Y158" s="182">
        <f>Y159</f>
        <v>1500000</v>
      </c>
      <c r="Z158" s="182">
        <f>Z159</f>
        <v>0</v>
      </c>
      <c r="AA158" s="182">
        <f t="shared" si="28"/>
        <v>1500000</v>
      </c>
      <c r="AB158" s="141">
        <f>AA158/$AA$9</f>
        <v>3.1125675815457999E-3</v>
      </c>
    </row>
    <row r="159" spans="1:170" ht="14.25" customHeight="1" x14ac:dyDescent="0.25">
      <c r="A159" s="156" t="s">
        <v>464</v>
      </c>
      <c r="B159" s="178" t="s">
        <v>670</v>
      </c>
      <c r="C159" s="150">
        <v>0</v>
      </c>
      <c r="D159" s="150">
        <v>0</v>
      </c>
      <c r="E159" s="150">
        <v>0</v>
      </c>
      <c r="F159" s="150">
        <v>0</v>
      </c>
      <c r="G159" s="150">
        <v>0</v>
      </c>
      <c r="H159" s="150">
        <v>0</v>
      </c>
      <c r="I159" s="150">
        <v>0</v>
      </c>
      <c r="J159" s="150">
        <v>0</v>
      </c>
      <c r="K159" s="150">
        <v>0</v>
      </c>
      <c r="L159" s="150">
        <v>0</v>
      </c>
      <c r="M159" s="150"/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50">
        <v>0</v>
      </c>
      <c r="V159" s="150">
        <v>0</v>
      </c>
      <c r="W159" s="724">
        <v>0</v>
      </c>
      <c r="X159" s="724">
        <v>0</v>
      </c>
      <c r="Y159" s="724">
        <f>+GETPIVOTDATA("valor",Sheet1!$I$2,"rubrica","03.01.01.01.04.01","cc","Direção de Obras")</f>
        <v>1500000</v>
      </c>
      <c r="Z159" s="724">
        <v>0</v>
      </c>
      <c r="AA159" s="724">
        <f t="shared" si="28"/>
        <v>1500000</v>
      </c>
      <c r="AB159" s="132">
        <f t="shared" ref="AB159:AB172" si="30">AA159/$AA$9</f>
        <v>3.1125675815457999E-3</v>
      </c>
    </row>
    <row r="160" spans="1:170" s="113" customFormat="1" ht="15.75" x14ac:dyDescent="0.25">
      <c r="A160" s="166" t="s">
        <v>671</v>
      </c>
      <c r="B160" s="165" t="s">
        <v>672</v>
      </c>
      <c r="C160" s="166">
        <f>C161</f>
        <v>0</v>
      </c>
      <c r="D160" s="166">
        <f>SUM(D161)</f>
        <v>0</v>
      </c>
      <c r="E160" s="166">
        <f>SUM(E161)</f>
        <v>0</v>
      </c>
      <c r="F160" s="182">
        <f>SUM(F161)</f>
        <v>2100000</v>
      </c>
      <c r="G160" s="182">
        <f>G161</f>
        <v>0</v>
      </c>
      <c r="H160" s="182">
        <f>H161</f>
        <v>0</v>
      </c>
      <c r="I160" s="182">
        <f>+I161</f>
        <v>6500000</v>
      </c>
      <c r="J160" s="182">
        <v>0</v>
      </c>
      <c r="K160" s="182">
        <f>+K161</f>
        <v>1200000</v>
      </c>
      <c r="L160" s="182">
        <f>+L161</f>
        <v>0</v>
      </c>
      <c r="M160" s="182">
        <v>0</v>
      </c>
      <c r="N160" s="182">
        <f>N161</f>
        <v>17000000</v>
      </c>
      <c r="O160" s="182">
        <f>O161</f>
        <v>0</v>
      </c>
      <c r="P160" s="182">
        <v>0</v>
      </c>
      <c r="Q160" s="166">
        <f>Q161</f>
        <v>0</v>
      </c>
      <c r="R160" s="166">
        <v>0</v>
      </c>
      <c r="S160" s="166">
        <v>0</v>
      </c>
      <c r="T160" s="166">
        <v>0</v>
      </c>
      <c r="U160" s="166">
        <v>0</v>
      </c>
      <c r="V160" s="166">
        <v>0</v>
      </c>
      <c r="W160" s="182">
        <v>0</v>
      </c>
      <c r="X160" s="182">
        <v>0</v>
      </c>
      <c r="Y160" s="182">
        <f>Y161</f>
        <v>143600000</v>
      </c>
      <c r="Z160" s="182">
        <f>Z161</f>
        <v>0</v>
      </c>
      <c r="AA160" s="182">
        <f t="shared" si="28"/>
        <v>170400000</v>
      </c>
      <c r="AB160" s="141">
        <f>AA160/$AA$9</f>
        <v>0.35358767726360291</v>
      </c>
    </row>
    <row r="161" spans="1:170" s="113" customFormat="1" ht="15.75" x14ac:dyDescent="0.25">
      <c r="A161" s="156" t="s">
        <v>469</v>
      </c>
      <c r="B161" s="178" t="s">
        <v>673</v>
      </c>
      <c r="C161" s="150">
        <v>0</v>
      </c>
      <c r="D161" s="150">
        <v>0</v>
      </c>
      <c r="E161" s="150">
        <v>0</v>
      </c>
      <c r="F161" s="724">
        <f>+GETPIVOTDATA("valor",Sheet1!$I$2,"rubrica","03.01.01.01.06.01","cc","Dir.Ambiente e Saneamento ")</f>
        <v>2100000</v>
      </c>
      <c r="G161" s="724">
        <v>0</v>
      </c>
      <c r="H161" s="724">
        <v>0</v>
      </c>
      <c r="I161" s="724">
        <f>+GETPIVOTDATA("valor",Sheet1!$I$2,"rubrica","03.01.01.01.06.01","cc","Direção de Inovação e Desporto")</f>
        <v>6500000</v>
      </c>
      <c r="J161" s="724">
        <v>0</v>
      </c>
      <c r="K161" s="724">
        <f>+GETPIVOTDATA("valor",Sheet1!$I$2,"rubrica","03.01.01.01.06.01","cc","Dir. Turismo, Investimento e Emprendedorismo")</f>
        <v>1200000</v>
      </c>
      <c r="L161" s="724">
        <v>0</v>
      </c>
      <c r="M161" s="724">
        <v>0</v>
      </c>
      <c r="N161" s="724">
        <f>+GETPIVOTDATA("valor",Sheet1!$I$2,"rubrica","03.01.01.01.06.01","cc","Direcao da Familia, Inclusão, Genero e Saúde")</f>
        <v>17000000</v>
      </c>
      <c r="O161" s="724">
        <v>0</v>
      </c>
      <c r="P161" s="724">
        <v>0</v>
      </c>
      <c r="Q161" s="150">
        <v>0</v>
      </c>
      <c r="R161" s="150">
        <v>0</v>
      </c>
      <c r="S161" s="150">
        <v>0</v>
      </c>
      <c r="T161" s="150">
        <v>0</v>
      </c>
      <c r="U161" s="150">
        <v>0</v>
      </c>
      <c r="V161" s="150">
        <v>0</v>
      </c>
      <c r="W161" s="724">
        <v>0</v>
      </c>
      <c r="X161" s="724">
        <v>0</v>
      </c>
      <c r="Y161" s="724">
        <f>+GETPIVOTDATA("valor",Sheet1!$I$2,"rubrica","03.01.01.01.06.01","cc","Direção de Obras")</f>
        <v>143600000</v>
      </c>
      <c r="Z161" s="724">
        <v>0</v>
      </c>
      <c r="AA161" s="724">
        <f t="shared" si="28"/>
        <v>170400000</v>
      </c>
      <c r="AB161" s="132">
        <f t="shared" si="30"/>
        <v>0.35358767726360291</v>
      </c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  <c r="DQ161" s="98"/>
      <c r="DR161" s="98"/>
      <c r="DS161" s="98"/>
      <c r="DT161" s="98"/>
      <c r="DU161" s="98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8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98"/>
      <c r="EZ161" s="98"/>
      <c r="FA161" s="98"/>
      <c r="FB161" s="98"/>
      <c r="FC161" s="98"/>
      <c r="FD161" s="98"/>
      <c r="FE161" s="98"/>
      <c r="FF161" s="98"/>
      <c r="FG161" s="98"/>
      <c r="FH161" s="98"/>
      <c r="FI161" s="98"/>
      <c r="FJ161" s="98"/>
      <c r="FK161" s="98"/>
      <c r="FL161" s="98"/>
      <c r="FM161" s="98"/>
      <c r="FN161" s="98"/>
    </row>
    <row r="162" spans="1:170" s="113" customFormat="1" ht="15.75" x14ac:dyDescent="0.25">
      <c r="A162" s="166" t="s">
        <v>674</v>
      </c>
      <c r="B162" s="165" t="s">
        <v>675</v>
      </c>
      <c r="C162" s="166">
        <f>C165+C167</f>
        <v>0</v>
      </c>
      <c r="D162" s="166">
        <f>D165+D167</f>
        <v>0</v>
      </c>
      <c r="E162" s="166">
        <f>E165+E167+E163</f>
        <v>11508375</v>
      </c>
      <c r="F162" s="182">
        <f>F165+F167+F164</f>
        <v>0</v>
      </c>
      <c r="G162" s="182">
        <f>G165+G167</f>
        <v>0</v>
      </c>
      <c r="H162" s="182">
        <f>H165+H167</f>
        <v>0</v>
      </c>
      <c r="I162" s="182">
        <v>0</v>
      </c>
      <c r="J162" s="182">
        <v>0</v>
      </c>
      <c r="K162" s="182">
        <f>+K163+K164</f>
        <v>0</v>
      </c>
      <c r="L162" s="182">
        <v>0</v>
      </c>
      <c r="M162" s="182">
        <v>0</v>
      </c>
      <c r="N162" s="182">
        <f>N165+N167</f>
        <v>0</v>
      </c>
      <c r="O162" s="182">
        <f>O165+O167</f>
        <v>0</v>
      </c>
      <c r="P162" s="182">
        <v>0</v>
      </c>
      <c r="Q162" s="166">
        <f>Q165+Q167</f>
        <v>0</v>
      </c>
      <c r="R162" s="166">
        <v>0</v>
      </c>
      <c r="S162" s="166">
        <v>0</v>
      </c>
      <c r="T162" s="166">
        <v>0</v>
      </c>
      <c r="U162" s="166">
        <v>0</v>
      </c>
      <c r="V162" s="166">
        <v>0</v>
      </c>
      <c r="W162" s="182">
        <v>0</v>
      </c>
      <c r="X162" s="182">
        <v>0</v>
      </c>
      <c r="Y162" s="182">
        <f>Y165+Y167+Y163</f>
        <v>64650000</v>
      </c>
      <c r="Z162" s="182">
        <f>Z165+Z167</f>
        <v>0</v>
      </c>
      <c r="AA162" s="182">
        <f t="shared" si="28"/>
        <v>76158375</v>
      </c>
      <c r="AB162" s="141">
        <f>AA162/$AA$9</f>
        <v>0.15803205939213874</v>
      </c>
    </row>
    <row r="163" spans="1:170" ht="15.75" x14ac:dyDescent="0.25">
      <c r="A163" s="156" t="s">
        <v>676</v>
      </c>
      <c r="B163" s="723" t="s">
        <v>677</v>
      </c>
      <c r="C163" s="183">
        <v>0</v>
      </c>
      <c r="D163" s="183">
        <v>0</v>
      </c>
      <c r="E163" s="183">
        <v>11508375</v>
      </c>
      <c r="F163" s="183">
        <v>0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56">
        <v>0</v>
      </c>
      <c r="R163" s="156">
        <v>0</v>
      </c>
      <c r="S163" s="156">
        <v>0</v>
      </c>
      <c r="T163" s="156">
        <v>0</v>
      </c>
      <c r="U163" s="156">
        <v>0</v>
      </c>
      <c r="V163" s="156">
        <v>0</v>
      </c>
      <c r="W163" s="183">
        <v>0</v>
      </c>
      <c r="X163" s="183">
        <v>0</v>
      </c>
      <c r="Y163" s="183"/>
      <c r="Z163" s="183">
        <v>0</v>
      </c>
      <c r="AA163" s="183">
        <f t="shared" si="28"/>
        <v>11508375</v>
      </c>
      <c r="AB163" s="137">
        <f>AA163/$AA$9</f>
        <v>2.3880396627514764E-2</v>
      </c>
    </row>
    <row r="164" spans="1:170" ht="15.75" x14ac:dyDescent="0.25">
      <c r="A164" s="156" t="s">
        <v>676</v>
      </c>
      <c r="B164" s="178" t="s">
        <v>678</v>
      </c>
      <c r="C164" s="156">
        <v>0</v>
      </c>
      <c r="D164" s="156">
        <v>0</v>
      </c>
      <c r="E164" s="156">
        <v>0</v>
      </c>
      <c r="F164" s="183">
        <v>0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56">
        <v>0</v>
      </c>
      <c r="R164" s="156">
        <v>0</v>
      </c>
      <c r="S164" s="156">
        <v>0</v>
      </c>
      <c r="T164" s="156">
        <v>0</v>
      </c>
      <c r="U164" s="156">
        <v>0</v>
      </c>
      <c r="V164" s="156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f t="shared" si="28"/>
        <v>0</v>
      </c>
      <c r="AB164" s="137">
        <f>AA164/$AA$9</f>
        <v>0</v>
      </c>
    </row>
    <row r="165" spans="1:170" s="113" customFormat="1" ht="15.75" x14ac:dyDescent="0.25">
      <c r="A165" s="166" t="s">
        <v>679</v>
      </c>
      <c r="B165" s="165" t="s">
        <v>680</v>
      </c>
      <c r="C165" s="166">
        <f>C166</f>
        <v>0</v>
      </c>
      <c r="D165" s="166">
        <f>SUM(D166)</f>
        <v>0</v>
      </c>
      <c r="E165" s="166">
        <f>SUM(E166)</f>
        <v>0</v>
      </c>
      <c r="F165" s="182">
        <f>SUM(F166)</f>
        <v>0</v>
      </c>
      <c r="G165" s="182">
        <f>G166</f>
        <v>0</v>
      </c>
      <c r="H165" s="182">
        <f>H166</f>
        <v>0</v>
      </c>
      <c r="I165" s="182">
        <v>0</v>
      </c>
      <c r="J165" s="182">
        <v>0</v>
      </c>
      <c r="K165" s="182">
        <f>+K166</f>
        <v>0</v>
      </c>
      <c r="L165" s="182">
        <f>+L166</f>
        <v>0</v>
      </c>
      <c r="M165" s="182">
        <f>+M166</f>
        <v>0</v>
      </c>
      <c r="N165" s="182">
        <f>N166</f>
        <v>0</v>
      </c>
      <c r="O165" s="182">
        <f>O166</f>
        <v>0</v>
      </c>
      <c r="P165" s="182">
        <v>0</v>
      </c>
      <c r="Q165" s="166">
        <f>Q166</f>
        <v>0</v>
      </c>
      <c r="R165" s="166">
        <v>0</v>
      </c>
      <c r="S165" s="166">
        <v>0</v>
      </c>
      <c r="T165" s="166">
        <v>0</v>
      </c>
      <c r="U165" s="166">
        <v>0</v>
      </c>
      <c r="V165" s="166">
        <v>0</v>
      </c>
      <c r="W165" s="182">
        <v>0</v>
      </c>
      <c r="X165" s="182">
        <v>0</v>
      </c>
      <c r="Y165" s="182">
        <f>Y166</f>
        <v>0</v>
      </c>
      <c r="Z165" s="182">
        <f>Z166</f>
        <v>0</v>
      </c>
      <c r="AA165" s="182">
        <f t="shared" si="28"/>
        <v>0</v>
      </c>
      <c r="AB165" s="141">
        <f>AA165/$AA$9</f>
        <v>0</v>
      </c>
    </row>
    <row r="166" spans="1:170" s="113" customFormat="1" ht="25.5" customHeight="1" x14ac:dyDescent="0.25">
      <c r="A166" s="156" t="s">
        <v>681</v>
      </c>
      <c r="B166" s="179" t="s">
        <v>682</v>
      </c>
      <c r="C166" s="130">
        <v>0</v>
      </c>
      <c r="D166" s="130">
        <v>0</v>
      </c>
      <c r="E166" s="130">
        <v>0</v>
      </c>
      <c r="F166" s="135">
        <v>0</v>
      </c>
      <c r="G166" s="135">
        <v>0</v>
      </c>
      <c r="H166" s="135">
        <v>0</v>
      </c>
      <c r="I166" s="135">
        <v>0</v>
      </c>
      <c r="J166" s="135">
        <v>0</v>
      </c>
      <c r="K166" s="135">
        <v>0</v>
      </c>
      <c r="L166" s="135">
        <v>0</v>
      </c>
      <c r="M166" s="135">
        <v>0</v>
      </c>
      <c r="N166" s="135">
        <v>0</v>
      </c>
      <c r="O166" s="135">
        <v>0</v>
      </c>
      <c r="P166" s="135">
        <v>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5">
        <v>0</v>
      </c>
      <c r="X166" s="135"/>
      <c r="Y166" s="135">
        <v>0</v>
      </c>
      <c r="Z166" s="135">
        <v>0</v>
      </c>
      <c r="AA166" s="724">
        <f t="shared" si="28"/>
        <v>0</v>
      </c>
      <c r="AB166" s="132">
        <f t="shared" si="30"/>
        <v>0</v>
      </c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  <c r="DQ166" s="98"/>
      <c r="DR166" s="98"/>
      <c r="DS166" s="98"/>
      <c r="DT166" s="98"/>
      <c r="DU166" s="98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98"/>
      <c r="EZ166" s="98"/>
      <c r="FA166" s="98"/>
      <c r="FB166" s="98"/>
      <c r="FC166" s="98"/>
      <c r="FD166" s="98"/>
      <c r="FE166" s="98"/>
      <c r="FF166" s="98"/>
      <c r="FG166" s="98"/>
      <c r="FH166" s="98"/>
      <c r="FI166" s="98"/>
      <c r="FJ166" s="98"/>
      <c r="FK166" s="98"/>
      <c r="FL166" s="98"/>
      <c r="FM166" s="98"/>
      <c r="FN166" s="98"/>
    </row>
    <row r="167" spans="1:170" s="113" customFormat="1" ht="29.25" customHeight="1" x14ac:dyDescent="0.25">
      <c r="A167" s="166" t="s">
        <v>683</v>
      </c>
      <c r="B167" s="180" t="s">
        <v>684</v>
      </c>
      <c r="C167" s="166">
        <f>C168</f>
        <v>0</v>
      </c>
      <c r="D167" s="166">
        <f>SUM(D168)</f>
        <v>0</v>
      </c>
      <c r="E167" s="166">
        <f>SUM(E168)</f>
        <v>0</v>
      </c>
      <c r="F167" s="182">
        <f>SUM(F168)</f>
        <v>0</v>
      </c>
      <c r="G167" s="182">
        <f>G168</f>
        <v>0</v>
      </c>
      <c r="H167" s="182">
        <f>H168</f>
        <v>0</v>
      </c>
      <c r="I167" s="182">
        <f>+I168</f>
        <v>0</v>
      </c>
      <c r="J167" s="182">
        <f>+J168</f>
        <v>3500000</v>
      </c>
      <c r="K167" s="182">
        <f>+K168</f>
        <v>0</v>
      </c>
      <c r="L167" s="182">
        <f>+L168</f>
        <v>0</v>
      </c>
      <c r="M167" s="182">
        <f>+M168</f>
        <v>0</v>
      </c>
      <c r="N167" s="182">
        <f>N168</f>
        <v>0</v>
      </c>
      <c r="O167" s="182">
        <f>O168</f>
        <v>0</v>
      </c>
      <c r="P167" s="182">
        <f>+P168</f>
        <v>0</v>
      </c>
      <c r="Q167" s="166">
        <f>Q168</f>
        <v>0</v>
      </c>
      <c r="R167" s="166">
        <v>0</v>
      </c>
      <c r="S167" s="166">
        <v>0</v>
      </c>
      <c r="T167" s="166">
        <v>0</v>
      </c>
      <c r="U167" s="166">
        <f>+U168</f>
        <v>0</v>
      </c>
      <c r="V167" s="166">
        <f>+V168</f>
        <v>0</v>
      </c>
      <c r="W167" s="182">
        <f>+W168</f>
        <v>0</v>
      </c>
      <c r="X167" s="182">
        <f>+X168</f>
        <v>0</v>
      </c>
      <c r="Y167" s="182">
        <f>Y168</f>
        <v>64650000</v>
      </c>
      <c r="Z167" s="182">
        <f>Z168</f>
        <v>0</v>
      </c>
      <c r="AA167" s="182">
        <f t="shared" si="28"/>
        <v>68150000</v>
      </c>
      <c r="AB167" s="167">
        <f t="shared" si="30"/>
        <v>0.14141432045489752</v>
      </c>
    </row>
    <row r="168" spans="1:170" ht="29.25" customHeight="1" x14ac:dyDescent="0.25">
      <c r="A168" s="174" t="s">
        <v>485</v>
      </c>
      <c r="B168" s="181" t="s">
        <v>685</v>
      </c>
      <c r="C168" s="130">
        <v>0</v>
      </c>
      <c r="D168" s="130">
        <v>0</v>
      </c>
      <c r="E168" s="130">
        <v>0</v>
      </c>
      <c r="F168" s="135"/>
      <c r="G168" s="135"/>
      <c r="H168" s="135"/>
      <c r="I168" s="135">
        <v>0</v>
      </c>
      <c r="J168" s="135">
        <f>+GETPIVOTDATA("valor",Sheet1!$I$2,"rubrica","03.01.01.02.04.01","cc","Dir. do Comércio, Indústria, Transporte Feiras e Pesca")</f>
        <v>3500000</v>
      </c>
      <c r="K168" s="135"/>
      <c r="L168" s="135"/>
      <c r="M168" s="135">
        <v>0</v>
      </c>
      <c r="N168" s="135">
        <v>0</v>
      </c>
      <c r="O168" s="135">
        <v>0</v>
      </c>
      <c r="P168" s="135">
        <v>0</v>
      </c>
      <c r="Q168" s="130">
        <v>0</v>
      </c>
      <c r="R168" s="130">
        <v>0</v>
      </c>
      <c r="S168" s="130">
        <v>0</v>
      </c>
      <c r="T168" s="130">
        <v>0</v>
      </c>
      <c r="U168" s="135"/>
      <c r="V168" s="130">
        <v>0</v>
      </c>
      <c r="W168" s="135">
        <v>0</v>
      </c>
      <c r="X168" s="135">
        <v>0</v>
      </c>
      <c r="Y168" s="135">
        <f>+GETPIVOTDATA("valor",Sheet1!$I$2,"rubrica","03.01.01.02.04.01","cc","Direção de Obras")</f>
        <v>64650000</v>
      </c>
      <c r="Z168" s="183">
        <v>0</v>
      </c>
      <c r="AA168" s="727">
        <f t="shared" si="28"/>
        <v>68150000</v>
      </c>
      <c r="AB168" s="132">
        <f t="shared" si="30"/>
        <v>0.14141432045489752</v>
      </c>
    </row>
    <row r="169" spans="1:170" s="113" customFormat="1" ht="16.5" customHeight="1" x14ac:dyDescent="0.25">
      <c r="A169" s="171" t="s">
        <v>686</v>
      </c>
      <c r="B169" s="171" t="s">
        <v>687</v>
      </c>
      <c r="C169" s="166">
        <f t="shared" ref="C169:H169" si="31">+C170</f>
        <v>0</v>
      </c>
      <c r="D169" s="166">
        <f t="shared" si="31"/>
        <v>0</v>
      </c>
      <c r="E169" s="166">
        <f t="shared" si="31"/>
        <v>0</v>
      </c>
      <c r="F169" s="166">
        <f t="shared" si="31"/>
        <v>0</v>
      </c>
      <c r="G169" s="166">
        <f t="shared" si="31"/>
        <v>0</v>
      </c>
      <c r="H169" s="166">
        <f t="shared" si="31"/>
        <v>0</v>
      </c>
      <c r="I169" s="166">
        <v>0</v>
      </c>
      <c r="J169" s="166">
        <v>0</v>
      </c>
      <c r="K169" s="166">
        <f>+K170</f>
        <v>0</v>
      </c>
      <c r="L169" s="166">
        <v>0</v>
      </c>
      <c r="M169" s="166">
        <f>+M170</f>
        <v>0</v>
      </c>
      <c r="N169" s="166">
        <f>+N170</f>
        <v>0</v>
      </c>
      <c r="O169" s="166">
        <f>+O170</f>
        <v>0</v>
      </c>
      <c r="P169" s="166">
        <v>0</v>
      </c>
      <c r="Q169" s="166">
        <f>+Q170</f>
        <v>0</v>
      </c>
      <c r="R169" s="166">
        <v>0</v>
      </c>
      <c r="S169" s="166">
        <v>0</v>
      </c>
      <c r="T169" s="166">
        <v>0</v>
      </c>
      <c r="U169" s="182">
        <v>0</v>
      </c>
      <c r="V169" s="166">
        <v>0</v>
      </c>
      <c r="W169" s="182">
        <v>0</v>
      </c>
      <c r="X169" s="182">
        <v>0</v>
      </c>
      <c r="Y169" s="182">
        <f>+Y170</f>
        <v>0</v>
      </c>
      <c r="Z169" s="182">
        <f>+Z170</f>
        <v>0</v>
      </c>
      <c r="AA169" s="728">
        <f t="shared" ref="AA169:AA172" si="32">+SUM(C169:Z169)</f>
        <v>0</v>
      </c>
      <c r="AB169" s="167">
        <f t="shared" si="30"/>
        <v>0</v>
      </c>
    </row>
    <row r="170" spans="1:170" ht="27" customHeight="1" x14ac:dyDescent="0.25">
      <c r="A170" s="174" t="s">
        <v>688</v>
      </c>
      <c r="B170" s="181" t="s">
        <v>689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56">
        <v>0</v>
      </c>
      <c r="P170" s="156">
        <v>0</v>
      </c>
      <c r="Q170" s="156">
        <v>0</v>
      </c>
      <c r="R170" s="156">
        <v>0</v>
      </c>
      <c r="S170" s="156">
        <v>0</v>
      </c>
      <c r="T170" s="156">
        <v>0</v>
      </c>
      <c r="U170" s="183">
        <v>0</v>
      </c>
      <c r="V170" s="156">
        <v>0</v>
      </c>
      <c r="W170" s="183">
        <v>0</v>
      </c>
      <c r="X170" s="183">
        <v>0</v>
      </c>
      <c r="Y170" s="183">
        <v>0</v>
      </c>
      <c r="Z170" s="183">
        <v>0</v>
      </c>
      <c r="AA170" s="727">
        <f t="shared" si="32"/>
        <v>0</v>
      </c>
      <c r="AB170" s="132">
        <f t="shared" si="30"/>
        <v>0</v>
      </c>
    </row>
    <row r="171" spans="1:170" s="113" customFormat="1" ht="18.75" customHeight="1" x14ac:dyDescent="0.25">
      <c r="A171" s="171" t="s">
        <v>690</v>
      </c>
      <c r="B171" s="171" t="s">
        <v>691</v>
      </c>
      <c r="C171" s="166">
        <f t="shared" ref="C171:H171" si="33">C172</f>
        <v>0</v>
      </c>
      <c r="D171" s="166">
        <f t="shared" si="33"/>
        <v>0</v>
      </c>
      <c r="E171" s="166">
        <f t="shared" si="33"/>
        <v>0</v>
      </c>
      <c r="F171" s="166">
        <f t="shared" si="33"/>
        <v>0</v>
      </c>
      <c r="G171" s="166">
        <f t="shared" si="33"/>
        <v>0</v>
      </c>
      <c r="H171" s="166">
        <f t="shared" si="33"/>
        <v>0</v>
      </c>
      <c r="I171" s="166">
        <v>0</v>
      </c>
      <c r="J171" s="166">
        <v>0</v>
      </c>
      <c r="K171" s="166">
        <f>+K172</f>
        <v>500000</v>
      </c>
      <c r="L171" s="166">
        <v>0</v>
      </c>
      <c r="M171" s="166">
        <f>+M172</f>
        <v>0</v>
      </c>
      <c r="N171" s="166">
        <f>N172</f>
        <v>0</v>
      </c>
      <c r="O171" s="166">
        <f>O172</f>
        <v>0</v>
      </c>
      <c r="P171" s="166">
        <v>0</v>
      </c>
      <c r="Q171" s="166">
        <f>Q172</f>
        <v>0</v>
      </c>
      <c r="R171" s="166">
        <v>0</v>
      </c>
      <c r="S171" s="166">
        <v>0</v>
      </c>
      <c r="T171" s="166">
        <v>0</v>
      </c>
      <c r="U171" s="182">
        <v>0</v>
      </c>
      <c r="V171" s="166">
        <v>0</v>
      </c>
      <c r="W171" s="182">
        <v>0</v>
      </c>
      <c r="X171" s="166">
        <v>0</v>
      </c>
      <c r="Y171" s="166">
        <f>Y172</f>
        <v>0</v>
      </c>
      <c r="Z171" s="166">
        <f>Z172</f>
        <v>0</v>
      </c>
      <c r="AA171" s="154">
        <f t="shared" si="32"/>
        <v>500000</v>
      </c>
      <c r="AB171" s="167">
        <f t="shared" si="30"/>
        <v>1.0375225271819334E-3</v>
      </c>
    </row>
    <row r="172" spans="1:170" ht="29.25" customHeight="1" x14ac:dyDescent="0.25">
      <c r="A172" s="174" t="s">
        <v>500</v>
      </c>
      <c r="B172" s="181" t="s">
        <v>692</v>
      </c>
      <c r="C172" s="156">
        <v>0</v>
      </c>
      <c r="D172" s="156">
        <v>0</v>
      </c>
      <c r="E172" s="156">
        <v>0</v>
      </c>
      <c r="F172" s="156"/>
      <c r="G172" s="156">
        <v>0</v>
      </c>
      <c r="H172" s="156">
        <v>0</v>
      </c>
      <c r="I172" s="156">
        <v>0</v>
      </c>
      <c r="J172" s="156">
        <v>0</v>
      </c>
      <c r="K172" s="183">
        <f>+GETPIVOTDATA("valor",Sheet1!$I$2,"rubrica","03.01.04.04.02.01","cc","Dir. Turismo, Investimento e Emprendedorismo")</f>
        <v>500000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0</v>
      </c>
      <c r="R172" s="156">
        <v>0</v>
      </c>
      <c r="S172" s="156">
        <v>0</v>
      </c>
      <c r="T172" s="156">
        <v>0</v>
      </c>
      <c r="U172" s="183">
        <v>0</v>
      </c>
      <c r="V172" s="156">
        <v>0</v>
      </c>
      <c r="W172" s="183">
        <v>0</v>
      </c>
      <c r="X172" s="156">
        <v>0</v>
      </c>
      <c r="Y172" s="156">
        <v>0</v>
      </c>
      <c r="Z172" s="156">
        <v>0</v>
      </c>
      <c r="AA172" s="157">
        <f t="shared" si="32"/>
        <v>500000</v>
      </c>
      <c r="AB172" s="132">
        <f t="shared" si="30"/>
        <v>1.0375225271819334E-3</v>
      </c>
    </row>
    <row r="173" spans="1:170" ht="16.5" customHeight="1" x14ac:dyDescent="0.25">
      <c r="A173" s="184"/>
      <c r="B173" s="184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735"/>
      <c r="X173" s="185"/>
      <c r="Y173" s="185"/>
      <c r="Z173" s="185"/>
      <c r="AA173" s="186"/>
      <c r="AB173" s="187"/>
    </row>
    <row r="174" spans="1:170" s="120" customFormat="1" ht="7.5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603"/>
      <c r="X174" s="71"/>
      <c r="Y174" s="71"/>
      <c r="Z174" s="71"/>
      <c r="AA174" s="71"/>
      <c r="AB174" s="71"/>
    </row>
    <row r="175" spans="1:170" s="120" customFormat="1" ht="15.6" customHeight="1" x14ac:dyDescent="0.25">
      <c r="A175" s="650" t="s">
        <v>1152</v>
      </c>
      <c r="B175" s="650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736"/>
      <c r="X175" s="85"/>
      <c r="Y175" s="85"/>
      <c r="Z175" s="85"/>
      <c r="AA175" s="85"/>
      <c r="AB175" s="85"/>
    </row>
    <row r="176" spans="1:170" s="120" customFormat="1" ht="15" customHeight="1" x14ac:dyDescent="0.25">
      <c r="A176" s="188"/>
      <c r="B176" s="85"/>
      <c r="C176" s="85"/>
      <c r="D176" s="85"/>
      <c r="E176" s="85"/>
      <c r="F176" s="189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189"/>
      <c r="R176" s="189"/>
      <c r="S176" s="189"/>
      <c r="T176" s="189"/>
      <c r="U176" s="189"/>
      <c r="V176" s="189"/>
      <c r="W176" s="737"/>
      <c r="X176" s="189"/>
      <c r="Y176" s="190"/>
      <c r="Z176" s="85"/>
      <c r="AA176" s="189"/>
      <c r="AB176" s="85"/>
    </row>
    <row r="177" spans="1:28" s="120" customFormat="1" ht="18" customHeight="1" x14ac:dyDescent="0.25">
      <c r="A177" s="71" t="s">
        <v>376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603"/>
      <c r="X177" s="71"/>
      <c r="Y177" s="71"/>
      <c r="Z177" s="114"/>
      <c r="AA177" s="71"/>
      <c r="AB177" s="71"/>
    </row>
    <row r="178" spans="1:28" ht="15" x14ac:dyDescent="0.25">
      <c r="A178" s="191" t="s">
        <v>377</v>
      </c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738"/>
      <c r="X178" s="191"/>
      <c r="Y178" s="191"/>
      <c r="Z178" s="191"/>
      <c r="AA178" s="191"/>
      <c r="AB178" s="191"/>
    </row>
    <row r="179" spans="1:28" ht="12" customHeight="1" x14ac:dyDescent="0.2">
      <c r="A179" s="192" t="s">
        <v>378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739"/>
      <c r="X179" s="192"/>
      <c r="Y179" s="192"/>
      <c r="Z179" s="192"/>
      <c r="AA179" s="192"/>
      <c r="AB179" s="192"/>
    </row>
    <row r="180" spans="1:28" ht="12" customHeight="1" x14ac:dyDescent="0.2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739"/>
      <c r="X180" s="192"/>
      <c r="Y180" s="192"/>
      <c r="Z180" s="192"/>
      <c r="AA180" s="192"/>
      <c r="AB180" s="192"/>
    </row>
    <row r="181" spans="1:28" ht="15" x14ac:dyDescent="0.25">
      <c r="C181" s="193"/>
      <c r="D181" s="194"/>
      <c r="E181" s="194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6"/>
      <c r="V181" s="196"/>
      <c r="W181" s="740"/>
      <c r="X181" s="196"/>
      <c r="Y181" s="195"/>
      <c r="Z181" s="195"/>
      <c r="AA181" s="197"/>
      <c r="AB181" s="198"/>
    </row>
    <row r="182" spans="1:28" ht="15" x14ac:dyDescent="0.25">
      <c r="C182" s="193"/>
      <c r="D182" s="194"/>
      <c r="E182" s="194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740"/>
      <c r="X182" s="196"/>
      <c r="Y182" s="196"/>
      <c r="Z182" s="196"/>
      <c r="AA182" s="197"/>
      <c r="AB182" s="198"/>
    </row>
    <row r="183" spans="1:28" ht="15" x14ac:dyDescent="0.25">
      <c r="C183" s="193"/>
      <c r="D183" s="194"/>
      <c r="E183" s="194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741"/>
      <c r="X183" s="195"/>
      <c r="Y183" s="195"/>
      <c r="Z183" s="195"/>
      <c r="AA183" s="197"/>
      <c r="AB183" s="198"/>
    </row>
    <row r="184" spans="1:28" ht="15" x14ac:dyDescent="0.25">
      <c r="C184" s="114"/>
      <c r="D184" s="114"/>
      <c r="E184" s="114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741"/>
      <c r="X184" s="195"/>
      <c r="Y184" s="195"/>
      <c r="Z184" s="195"/>
      <c r="AA184" s="197"/>
      <c r="AB184" s="198"/>
    </row>
    <row r="185" spans="1:28" ht="15" x14ac:dyDescent="0.25">
      <c r="C185" s="114"/>
      <c r="D185" s="114"/>
      <c r="E185" s="114"/>
      <c r="F185" s="199"/>
      <c r="G185" s="114"/>
      <c r="H185" s="114"/>
      <c r="I185" s="114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742"/>
      <c r="X185" s="199"/>
      <c r="Y185" s="199"/>
      <c r="Z185" s="199"/>
    </row>
  </sheetData>
  <autoFilter ref="A7:AB17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9">
    <mergeCell ref="A175:B175"/>
    <mergeCell ref="A1:AB1"/>
    <mergeCell ref="A4:AB4"/>
    <mergeCell ref="A5:AB5"/>
    <mergeCell ref="A7:A8"/>
    <mergeCell ref="B7:B8"/>
    <mergeCell ref="C7:Z7"/>
    <mergeCell ref="AA7:AA8"/>
    <mergeCell ref="AB7:A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2" manualBreakCount="2">
    <brk id="71" max="16383" man="1"/>
    <brk id="183" max="16383" man="1"/>
  </rowBreaks>
  <colBreaks count="1" manualBreakCount="1">
    <brk id="10" max="17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128"/>
  <sheetViews>
    <sheetView zoomScale="85" zoomScaleNormal="85" workbookViewId="0">
      <selection activeCell="C44" sqref="C44"/>
    </sheetView>
  </sheetViews>
  <sheetFormatPr defaultRowHeight="15" x14ac:dyDescent="0.25"/>
  <cols>
    <col min="1" max="1" width="25.28515625" style="87" customWidth="1"/>
    <col min="2" max="2" width="17.42578125" style="201" customWidth="1"/>
    <col min="3" max="3" width="63.85546875" style="87" customWidth="1"/>
    <col min="4" max="4" width="17.42578125" style="275" customWidth="1"/>
    <col min="5" max="5" width="18.7109375" style="275" bestFit="1" customWidth="1"/>
    <col min="6" max="6" width="21.5703125" style="275" customWidth="1"/>
    <col min="7" max="7" width="15.85546875" style="87" customWidth="1"/>
    <col min="8" max="8" width="29.7109375" style="203" customWidth="1"/>
    <col min="9" max="9" width="20.42578125" style="203" customWidth="1"/>
    <col min="10" max="10" width="23" style="203" customWidth="1"/>
    <col min="11" max="11" width="14.42578125" style="203" customWidth="1"/>
    <col min="12" max="12" width="5" style="203" bestFit="1" customWidth="1"/>
    <col min="13" max="13" width="9.140625" style="203"/>
    <col min="14" max="14" width="15.5703125" style="203" hidden="1" customWidth="1"/>
    <col min="15" max="16384" width="9.140625" style="203"/>
  </cols>
  <sheetData>
    <row r="2" spans="1:256" x14ac:dyDescent="0.25">
      <c r="D2" s="202"/>
      <c r="E2" s="202"/>
      <c r="F2" s="202"/>
    </row>
    <row r="3" spans="1:256" x14ac:dyDescent="0.25">
      <c r="D3" s="202"/>
      <c r="E3" s="202"/>
      <c r="F3" s="202"/>
    </row>
    <row r="4" spans="1:256" ht="18.75" customHeight="1" x14ac:dyDescent="0.2">
      <c r="A4" s="204" t="s">
        <v>393</v>
      </c>
      <c r="B4" s="204"/>
      <c r="C4" s="204"/>
      <c r="D4" s="204"/>
      <c r="E4" s="204"/>
      <c r="F4" s="204"/>
      <c r="G4" s="204"/>
      <c r="H4" s="203">
        <v>185623614</v>
      </c>
    </row>
    <row r="5" spans="1:256" ht="15.75" customHeight="1" x14ac:dyDescent="0.2">
      <c r="A5" s="205" t="s">
        <v>1125</v>
      </c>
      <c r="B5" s="205"/>
      <c r="C5" s="205"/>
      <c r="D5" s="205"/>
      <c r="E5" s="205"/>
      <c r="F5" s="205"/>
      <c r="G5" s="205"/>
      <c r="H5" s="206">
        <f>+D10-H4</f>
        <v>21373633</v>
      </c>
    </row>
    <row r="6" spans="1:256" ht="12.75" x14ac:dyDescent="0.2">
      <c r="A6" s="207" t="s">
        <v>693</v>
      </c>
      <c r="B6" s="207"/>
      <c r="C6" s="207"/>
      <c r="D6" s="207"/>
      <c r="E6" s="207"/>
      <c r="F6" s="207"/>
      <c r="G6" s="207"/>
      <c r="H6" s="206"/>
    </row>
    <row r="7" spans="1:256" ht="15" customHeight="1" x14ac:dyDescent="0.2">
      <c r="A7" s="208" t="s">
        <v>694</v>
      </c>
      <c r="B7" s="208" t="s">
        <v>695</v>
      </c>
      <c r="C7" s="209" t="s">
        <v>395</v>
      </c>
      <c r="D7" s="210" t="s">
        <v>696</v>
      </c>
      <c r="E7" s="210"/>
      <c r="F7" s="210" t="s">
        <v>428</v>
      </c>
      <c r="G7" s="211" t="s">
        <v>697</v>
      </c>
    </row>
    <row r="8" spans="1:256" x14ac:dyDescent="0.2">
      <c r="A8" s="208"/>
      <c r="B8" s="208"/>
      <c r="C8" s="209"/>
      <c r="D8" s="212" t="s">
        <v>698</v>
      </c>
      <c r="E8" s="213" t="s">
        <v>699</v>
      </c>
      <c r="F8" s="210"/>
      <c r="G8" s="214"/>
    </row>
    <row r="9" spans="1:256" ht="15.75" x14ac:dyDescent="0.2">
      <c r="A9" s="215" t="s">
        <v>700</v>
      </c>
      <c r="B9" s="215"/>
      <c r="C9" s="215"/>
      <c r="D9" s="216">
        <f>D10+D19+D22+D30+D35+D62+D67</f>
        <v>206997247</v>
      </c>
      <c r="E9" s="216">
        <f>E10+E19+E22+E30+E35+E62+E67+E58+E60</f>
        <v>274920000</v>
      </c>
      <c r="F9" s="216">
        <f>D9+E9</f>
        <v>481917247</v>
      </c>
      <c r="G9" s="217">
        <f>F9/$F$9</f>
        <v>1</v>
      </c>
      <c r="H9" s="218">
        <f>+F9-MapaII!AA9</f>
        <v>0</v>
      </c>
    </row>
    <row r="10" spans="1:256" x14ac:dyDescent="0.2">
      <c r="A10" s="219" t="s">
        <v>701</v>
      </c>
      <c r="B10" s="220"/>
      <c r="C10" s="221" t="s">
        <v>702</v>
      </c>
      <c r="D10" s="222">
        <f>D11</f>
        <v>206997247</v>
      </c>
      <c r="E10" s="222">
        <f>SUM(E11:E17)</f>
        <v>0</v>
      </c>
      <c r="F10" s="222">
        <f>D10+E10</f>
        <v>206997247</v>
      </c>
      <c r="G10" s="223">
        <f>F10/$F$9</f>
        <v>0.42952861365428574</v>
      </c>
      <c r="H10" s="224"/>
      <c r="I10" s="224">
        <v>125793520</v>
      </c>
      <c r="J10" s="225">
        <f>+F12-I10</f>
        <v>-150000</v>
      </c>
      <c r="K10" s="224"/>
      <c r="L10" s="225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  <c r="IM10" s="224"/>
      <c r="IN10" s="224"/>
      <c r="IO10" s="224"/>
      <c r="IP10" s="224"/>
      <c r="IQ10" s="224"/>
      <c r="IR10" s="224"/>
      <c r="IS10" s="224"/>
      <c r="IT10" s="224"/>
      <c r="IU10" s="224"/>
      <c r="IV10" s="224"/>
    </row>
    <row r="11" spans="1:256" x14ac:dyDescent="0.25">
      <c r="A11" s="226" t="s">
        <v>703</v>
      </c>
      <c r="B11" s="227"/>
      <c r="C11" s="228" t="s">
        <v>704</v>
      </c>
      <c r="D11" s="229">
        <f>SUM(D12:D18)</f>
        <v>206997247</v>
      </c>
      <c r="E11" s="229">
        <f>SUM(E12:E18)</f>
        <v>0</v>
      </c>
      <c r="F11" s="230">
        <f>D11+E11</f>
        <v>206997247</v>
      </c>
      <c r="G11" s="231">
        <f t="shared" ref="G11:G67" si="0">F11/$F$9</f>
        <v>0.42952861365428574</v>
      </c>
      <c r="H11" s="232"/>
      <c r="I11" s="232">
        <v>42419720</v>
      </c>
      <c r="J11" s="617">
        <f>+I11-F13</f>
        <v>6100000</v>
      </c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</row>
    <row r="12" spans="1:256" x14ac:dyDescent="0.25">
      <c r="A12" s="226" t="s">
        <v>705</v>
      </c>
      <c r="B12" s="233" t="s">
        <v>423</v>
      </c>
      <c r="C12" s="234" t="s">
        <v>706</v>
      </c>
      <c r="D12" s="229">
        <f>+MapaII!AA10-GETPIVOTDATA("valor",Sheet1!$I$2,"rubrica","02.01.01.02.07")</f>
        <v>125643520</v>
      </c>
      <c r="E12" s="230"/>
      <c r="F12" s="230">
        <f t="shared" ref="F12:F17" si="1">D12+E12</f>
        <v>125643520</v>
      </c>
      <c r="G12" s="235">
        <f>F12/$F$9</f>
        <v>0.2607159647888676</v>
      </c>
      <c r="H12" s="232"/>
      <c r="I12" s="203">
        <v>15136765</v>
      </c>
      <c r="J12" s="617">
        <f t="shared" ref="J12:J16" si="2">+I12-F14</f>
        <v>1611133</v>
      </c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</row>
    <row r="13" spans="1:256" x14ac:dyDescent="0.25">
      <c r="A13" s="226" t="s">
        <v>707</v>
      </c>
      <c r="B13" s="233" t="s">
        <v>490</v>
      </c>
      <c r="C13" s="234" t="s">
        <v>491</v>
      </c>
      <c r="D13" s="229">
        <f>+MapaII!AA40-MapaII!Y69-MapaII!K69</f>
        <v>36319720</v>
      </c>
      <c r="E13" s="230"/>
      <c r="F13" s="230">
        <f t="shared" si="1"/>
        <v>36319720</v>
      </c>
      <c r="G13" s="235">
        <f t="shared" si="0"/>
        <v>7.5365055361880415E-2</v>
      </c>
      <c r="H13" s="232"/>
      <c r="I13" s="203">
        <v>500000</v>
      </c>
      <c r="J13" s="617">
        <f t="shared" si="2"/>
        <v>0</v>
      </c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</row>
    <row r="14" spans="1:256" x14ac:dyDescent="0.25">
      <c r="A14" s="226" t="s">
        <v>708</v>
      </c>
      <c r="B14" s="233" t="s">
        <v>553</v>
      </c>
      <c r="C14" s="234" t="s">
        <v>554</v>
      </c>
      <c r="D14" s="229">
        <f>+MapaII!AA72</f>
        <v>13525632</v>
      </c>
      <c r="E14" s="230"/>
      <c r="F14" s="230">
        <f t="shared" si="1"/>
        <v>13525632</v>
      </c>
      <c r="G14" s="235">
        <f t="shared" si="0"/>
        <v>2.8066295788745657E-2</v>
      </c>
      <c r="H14" s="232"/>
      <c r="I14" s="232">
        <v>17700000</v>
      </c>
      <c r="J14" s="617">
        <f t="shared" si="2"/>
        <v>2700000</v>
      </c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</row>
    <row r="15" spans="1:256" x14ac:dyDescent="0.25">
      <c r="A15" s="226" t="s">
        <v>709</v>
      </c>
      <c r="B15" s="233" t="s">
        <v>573</v>
      </c>
      <c r="C15" s="234" t="s">
        <v>710</v>
      </c>
      <c r="D15" s="229">
        <f>+MapaII!AA82</f>
        <v>500000</v>
      </c>
      <c r="E15" s="230"/>
      <c r="F15" s="230">
        <f t="shared" si="1"/>
        <v>500000</v>
      </c>
      <c r="G15" s="235">
        <f t="shared" si="0"/>
        <v>1.0375225271819334E-3</v>
      </c>
      <c r="H15" s="232"/>
      <c r="I15" s="232">
        <v>29920000</v>
      </c>
      <c r="J15" s="617">
        <f t="shared" si="2"/>
        <v>25420000</v>
      </c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  <c r="IV15" s="232"/>
    </row>
    <row r="16" spans="1:256" x14ac:dyDescent="0.25">
      <c r="A16" s="226" t="s">
        <v>711</v>
      </c>
      <c r="B16" s="233" t="s">
        <v>591</v>
      </c>
      <c r="C16" s="234" t="s">
        <v>592</v>
      </c>
      <c r="D16" s="512">
        <f>+MapaII!AA92-MapaII!N99</f>
        <v>15000000</v>
      </c>
      <c r="E16" s="237"/>
      <c r="F16" s="230">
        <f t="shared" si="1"/>
        <v>15000000</v>
      </c>
      <c r="G16" s="235">
        <f t="shared" si="0"/>
        <v>3.1125675815458002E-2</v>
      </c>
      <c r="H16" s="232"/>
      <c r="I16" s="232">
        <v>250558375</v>
      </c>
      <c r="J16" s="617">
        <f t="shared" si="2"/>
        <v>239050000</v>
      </c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  <c r="IV16" s="232"/>
    </row>
    <row r="17" spans="1:256" x14ac:dyDescent="0.25">
      <c r="A17" s="226" t="s">
        <v>712</v>
      </c>
      <c r="B17" s="233" t="s">
        <v>713</v>
      </c>
      <c r="C17" s="234" t="s">
        <v>714</v>
      </c>
      <c r="D17" s="229">
        <f>+MapaII!AA101-MapaII!H103-MapaII!M103-MapaII!N103-MapaII!Y103</f>
        <v>4500000</v>
      </c>
      <c r="E17" s="230"/>
      <c r="F17" s="230">
        <f t="shared" si="1"/>
        <v>4500000</v>
      </c>
      <c r="G17" s="235">
        <f t="shared" si="0"/>
        <v>9.3377027446374002E-3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  <c r="IN17" s="232"/>
      <c r="IO17" s="232"/>
      <c r="IP17" s="232"/>
      <c r="IQ17" s="232"/>
      <c r="IR17" s="232"/>
      <c r="IS17" s="232"/>
      <c r="IT17" s="232"/>
      <c r="IU17" s="232"/>
      <c r="IV17" s="232"/>
    </row>
    <row r="18" spans="1:256" x14ac:dyDescent="0.25">
      <c r="A18" s="226" t="s">
        <v>712</v>
      </c>
      <c r="B18" s="233" t="s">
        <v>715</v>
      </c>
      <c r="C18" s="234" t="s">
        <v>716</v>
      </c>
      <c r="D18" s="229">
        <f>+MapaII!E156</f>
        <v>11508375</v>
      </c>
      <c r="E18" s="230"/>
      <c r="F18" s="230">
        <f>D18+E18</f>
        <v>11508375</v>
      </c>
      <c r="G18" s="235">
        <f t="shared" si="0"/>
        <v>2.3880396627514764E-2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  <c r="IU18" s="232"/>
      <c r="IV18" s="232"/>
    </row>
    <row r="19" spans="1:256" x14ac:dyDescent="0.2">
      <c r="A19" s="219" t="s">
        <v>717</v>
      </c>
      <c r="B19" s="220"/>
      <c r="C19" s="221" t="s">
        <v>718</v>
      </c>
      <c r="D19" s="238">
        <f>D21</f>
        <v>0</v>
      </c>
      <c r="E19" s="222">
        <f>+SUM(E20:E21)</f>
        <v>800000</v>
      </c>
      <c r="F19" s="222">
        <f>D19+E19</f>
        <v>800000</v>
      </c>
      <c r="G19" s="223">
        <f t="shared" si="0"/>
        <v>1.6600360434910935E-3</v>
      </c>
      <c r="H19" s="239"/>
      <c r="I19" s="232"/>
      <c r="J19" s="232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  <c r="IS19" s="239"/>
      <c r="IT19" s="239"/>
      <c r="IU19" s="239"/>
      <c r="IV19" s="239"/>
    </row>
    <row r="20" spans="1:256" x14ac:dyDescent="0.25">
      <c r="A20" s="240" t="s">
        <v>719</v>
      </c>
      <c r="B20" s="241" t="s">
        <v>485</v>
      </c>
      <c r="C20" s="242" t="s">
        <v>901</v>
      </c>
      <c r="D20" s="236">
        <v>0</v>
      </c>
      <c r="E20" s="237">
        <f>+INDEX(Sheet1!A:D,MATCH(MapaIII!C20,Sheet1!A:A,0),2)</f>
        <v>650000</v>
      </c>
      <c r="F20" s="237">
        <f>+D20+E20</f>
        <v>650000</v>
      </c>
      <c r="G20" s="243">
        <f t="shared" si="0"/>
        <v>1.3487792853365134E-3</v>
      </c>
      <c r="H20" s="99">
        <v>700000</v>
      </c>
      <c r="I20" s="232"/>
      <c r="J20" s="232"/>
      <c r="L20" s="203" t="e">
        <v>#N/A</v>
      </c>
      <c r="N20" s="218">
        <f t="shared" ref="N20:N60" si="3">+H20-E20</f>
        <v>50000</v>
      </c>
    </row>
    <row r="21" spans="1:256" x14ac:dyDescent="0.25">
      <c r="A21" s="240" t="s">
        <v>719</v>
      </c>
      <c r="B21" s="241" t="s">
        <v>433</v>
      </c>
      <c r="C21" s="244" t="s">
        <v>720</v>
      </c>
      <c r="D21" s="236">
        <v>0</v>
      </c>
      <c r="E21" s="237">
        <f>+INDEX(Sheet1!A:D,MATCH(MapaIII!C21,Sheet1!A:A,0),2)</f>
        <v>150000</v>
      </c>
      <c r="F21" s="237">
        <f>D21+E21</f>
        <v>150000</v>
      </c>
      <c r="G21" s="243">
        <f t="shared" si="0"/>
        <v>3.1125675815458001E-4</v>
      </c>
      <c r="H21" s="99">
        <v>100000</v>
      </c>
      <c r="I21" s="224"/>
      <c r="J21" s="224"/>
      <c r="K21" s="232"/>
      <c r="L21" s="203">
        <v>3</v>
      </c>
      <c r="M21" s="232"/>
      <c r="N21" s="218">
        <f t="shared" si="3"/>
        <v>-50000</v>
      </c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2"/>
      <c r="GL21" s="232"/>
      <c r="GM21" s="232"/>
      <c r="GN21" s="232"/>
      <c r="GO21" s="232"/>
      <c r="GP21" s="232"/>
      <c r="GQ21" s="232"/>
      <c r="GR21" s="232"/>
      <c r="GS21" s="232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  <c r="HS21" s="232"/>
      <c r="HT21" s="232"/>
      <c r="HU21" s="232"/>
      <c r="HV21" s="232"/>
      <c r="HW21" s="232"/>
      <c r="HX21" s="232"/>
      <c r="HY21" s="232"/>
      <c r="HZ21" s="232"/>
      <c r="IA21" s="232"/>
      <c r="IB21" s="232"/>
      <c r="IC21" s="232"/>
      <c r="ID21" s="232"/>
      <c r="IE21" s="232"/>
      <c r="IF21" s="232"/>
      <c r="IG21" s="232"/>
      <c r="IH21" s="232"/>
      <c r="II21" s="232"/>
      <c r="IJ21" s="232"/>
      <c r="IK21" s="232"/>
      <c r="IL21" s="232"/>
      <c r="IM21" s="232"/>
      <c r="IN21" s="232"/>
      <c r="IO21" s="232"/>
      <c r="IP21" s="232"/>
      <c r="IQ21" s="232"/>
      <c r="IR21" s="232"/>
      <c r="IS21" s="232"/>
      <c r="IT21" s="232"/>
      <c r="IU21" s="232"/>
      <c r="IV21" s="232"/>
    </row>
    <row r="22" spans="1:256" x14ac:dyDescent="0.2">
      <c r="A22" s="219" t="s">
        <v>721</v>
      </c>
      <c r="B22" s="220"/>
      <c r="C22" s="221" t="s">
        <v>722</v>
      </c>
      <c r="D22" s="238">
        <f>+SUM(D23:D29)</f>
        <v>0</v>
      </c>
      <c r="E22" s="222">
        <f>+SUM(E23:E29)</f>
        <v>13500000</v>
      </c>
      <c r="F22" s="222">
        <f>D22+E22</f>
        <v>13500000</v>
      </c>
      <c r="G22" s="223">
        <f t="shared" si="0"/>
        <v>2.80131082339122E-2</v>
      </c>
      <c r="H22" s="203">
        <v>0</v>
      </c>
      <c r="K22" s="224"/>
      <c r="L22" s="203" t="e">
        <v>#N/A</v>
      </c>
      <c r="M22" s="224"/>
      <c r="N22" s="218">
        <f t="shared" si="3"/>
        <v>-13500000</v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  <c r="GE22" s="224"/>
      <c r="GF22" s="224"/>
      <c r="GG22" s="224"/>
      <c r="GH22" s="224"/>
      <c r="GI22" s="224"/>
      <c r="GJ22" s="224"/>
      <c r="GK22" s="224"/>
      <c r="GL22" s="224"/>
      <c r="GM22" s="224"/>
      <c r="GN22" s="224"/>
      <c r="GO22" s="224"/>
      <c r="GP22" s="224"/>
      <c r="GQ22" s="224"/>
      <c r="GR22" s="224"/>
      <c r="GS22" s="224"/>
      <c r="GT22" s="224"/>
      <c r="GU22" s="224"/>
      <c r="GV22" s="224"/>
      <c r="GW22" s="224"/>
      <c r="GX22" s="224"/>
      <c r="GY22" s="224"/>
      <c r="GZ22" s="224"/>
      <c r="HA22" s="224"/>
      <c r="HB22" s="224"/>
      <c r="HC22" s="224"/>
      <c r="HD22" s="224"/>
      <c r="HE22" s="224"/>
      <c r="HF22" s="224"/>
      <c r="HG22" s="224"/>
      <c r="HH22" s="224"/>
      <c r="HI22" s="224"/>
      <c r="HJ22" s="224"/>
      <c r="HK22" s="224"/>
      <c r="HL22" s="224"/>
      <c r="HM22" s="224"/>
      <c r="HN22" s="224"/>
      <c r="HO22" s="224"/>
      <c r="HP22" s="224"/>
      <c r="HQ22" s="224"/>
      <c r="HR22" s="224"/>
      <c r="HS22" s="224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4"/>
    </row>
    <row r="23" spans="1:256" x14ac:dyDescent="0.25">
      <c r="A23" s="240" t="s">
        <v>723</v>
      </c>
      <c r="B23" s="245" t="s">
        <v>449</v>
      </c>
      <c r="C23" s="240" t="s">
        <v>724</v>
      </c>
      <c r="D23" s="236">
        <v>0</v>
      </c>
      <c r="E23" s="237">
        <f>+INDEX(Sheet1!A:D,MATCH(MapaIII!C23,Sheet1!A:A,0),2)</f>
        <v>500000</v>
      </c>
      <c r="F23" s="237">
        <f>E23+D23</f>
        <v>500000</v>
      </c>
      <c r="G23" s="243">
        <f t="shared" si="0"/>
        <v>1.0375225271819334E-3</v>
      </c>
      <c r="H23" s="99">
        <v>400000</v>
      </c>
      <c r="L23" s="203">
        <v>17</v>
      </c>
      <c r="N23" s="218">
        <f t="shared" si="3"/>
        <v>-100000</v>
      </c>
    </row>
    <row r="24" spans="1:256" x14ac:dyDescent="0.25">
      <c r="A24" s="240" t="s">
        <v>723</v>
      </c>
      <c r="B24" s="245" t="s">
        <v>449</v>
      </c>
      <c r="C24" s="240" t="s">
        <v>866</v>
      </c>
      <c r="D24" s="236">
        <v>0</v>
      </c>
      <c r="E24" s="237">
        <f>+INDEX(Sheet1!A:D,MATCH(MapaIII!C24,Sheet1!A:A,0),2)</f>
        <v>1800000</v>
      </c>
      <c r="F24" s="237">
        <f>E24+D24</f>
        <v>1800000</v>
      </c>
      <c r="G24" s="243">
        <f t="shared" si="0"/>
        <v>3.7350810978549602E-3</v>
      </c>
      <c r="H24" s="99">
        <v>1100000</v>
      </c>
      <c r="L24" s="203" t="e">
        <v>#N/A</v>
      </c>
      <c r="N24" s="218">
        <f t="shared" si="3"/>
        <v>-700000</v>
      </c>
    </row>
    <row r="25" spans="1:256" x14ac:dyDescent="0.25">
      <c r="A25" s="240" t="s">
        <v>726</v>
      </c>
      <c r="B25" s="247" t="s">
        <v>727</v>
      </c>
      <c r="C25" s="248" t="s">
        <v>728</v>
      </c>
      <c r="D25" s="236">
        <v>0</v>
      </c>
      <c r="E25" s="237">
        <f>+INDEX(Sheet1!A:D,MATCH(MapaIII!C25,Sheet1!A:A,0),2)</f>
        <v>3500000</v>
      </c>
      <c r="F25" s="237">
        <f>D25+E25</f>
        <v>3500000</v>
      </c>
      <c r="G25" s="243">
        <f t="shared" si="0"/>
        <v>7.2626576902735333E-3</v>
      </c>
      <c r="H25" s="99">
        <v>1000000</v>
      </c>
      <c r="I25" s="232"/>
      <c r="J25" s="232"/>
      <c r="K25" s="232"/>
      <c r="L25" s="203">
        <v>66</v>
      </c>
      <c r="M25" s="232"/>
      <c r="N25" s="218">
        <f t="shared" si="3"/>
        <v>-2500000</v>
      </c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  <c r="GA25" s="232"/>
      <c r="GB25" s="232"/>
      <c r="GC25" s="232"/>
      <c r="GD25" s="232"/>
      <c r="GE25" s="232"/>
      <c r="GF25" s="232"/>
      <c r="GG25" s="232"/>
      <c r="GH25" s="232"/>
      <c r="GI25" s="232"/>
      <c r="GJ25" s="232"/>
      <c r="GK25" s="232"/>
      <c r="GL25" s="232"/>
      <c r="GM25" s="232"/>
      <c r="GN25" s="232"/>
      <c r="GO25" s="232"/>
      <c r="GP25" s="232"/>
      <c r="GQ25" s="232"/>
      <c r="GR25" s="232"/>
      <c r="GS25" s="232"/>
      <c r="GT25" s="232"/>
      <c r="GU25" s="232"/>
      <c r="GV25" s="232"/>
      <c r="GW25" s="232"/>
      <c r="GX25" s="232"/>
      <c r="GY25" s="232"/>
      <c r="GZ25" s="232"/>
      <c r="HA25" s="232"/>
      <c r="HB25" s="232"/>
      <c r="HC25" s="232"/>
      <c r="HD25" s="232"/>
      <c r="HE25" s="232"/>
      <c r="HF25" s="232"/>
      <c r="HG25" s="232"/>
      <c r="HH25" s="232"/>
      <c r="HI25" s="232"/>
      <c r="HJ25" s="232"/>
      <c r="HK25" s="232"/>
      <c r="HL25" s="232"/>
      <c r="HM25" s="232"/>
      <c r="HN25" s="232"/>
      <c r="HO25" s="232"/>
      <c r="HP25" s="232"/>
      <c r="HQ25" s="232"/>
      <c r="HR25" s="232"/>
      <c r="HS25" s="232"/>
      <c r="HT25" s="232"/>
      <c r="HU25" s="232"/>
      <c r="HV25" s="232"/>
      <c r="HW25" s="232"/>
      <c r="HX25" s="232"/>
      <c r="HY25" s="232"/>
      <c r="HZ25" s="232"/>
      <c r="IA25" s="232"/>
      <c r="IB25" s="232"/>
      <c r="IC25" s="232"/>
      <c r="ID25" s="232"/>
      <c r="IE25" s="232"/>
      <c r="IF25" s="232"/>
      <c r="IG25" s="232"/>
      <c r="IH25" s="232"/>
      <c r="II25" s="232"/>
      <c r="IJ25" s="232"/>
      <c r="IK25" s="232"/>
      <c r="IL25" s="232"/>
      <c r="IM25" s="232"/>
      <c r="IN25" s="232"/>
      <c r="IO25" s="232"/>
      <c r="IP25" s="232"/>
      <c r="IQ25" s="232"/>
      <c r="IR25" s="232"/>
      <c r="IS25" s="232"/>
      <c r="IT25" s="232"/>
      <c r="IU25" s="232"/>
      <c r="IV25" s="232"/>
    </row>
    <row r="26" spans="1:256" x14ac:dyDescent="0.25">
      <c r="A26" s="240" t="s">
        <v>726</v>
      </c>
      <c r="B26" s="247" t="s">
        <v>727</v>
      </c>
      <c r="C26" s="248" t="s">
        <v>1136</v>
      </c>
      <c r="D26" s="236">
        <v>0</v>
      </c>
      <c r="E26" s="237">
        <f>+INDEX(Sheet1!A:D,MATCH(MapaIII!C26,Sheet1!A:A,0),2)</f>
        <v>500000</v>
      </c>
      <c r="F26" s="237">
        <f>D26+E26</f>
        <v>500000</v>
      </c>
      <c r="G26" s="243">
        <f>F26/$F$9</f>
        <v>1.0375225271819334E-3</v>
      </c>
      <c r="H26" s="99">
        <v>2000000</v>
      </c>
      <c r="I26" s="232"/>
      <c r="J26" s="232"/>
      <c r="K26" s="232"/>
      <c r="L26" s="203" t="e">
        <v>#N/A</v>
      </c>
      <c r="M26" s="232"/>
      <c r="N26" s="218">
        <f>+H26-E26</f>
        <v>1500000</v>
      </c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2"/>
      <c r="FY26" s="232"/>
      <c r="FZ26" s="232"/>
      <c r="GA26" s="232"/>
      <c r="GB26" s="232"/>
      <c r="GC26" s="232"/>
      <c r="GD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Q26" s="232"/>
      <c r="GR26" s="232"/>
      <c r="GS26" s="232"/>
      <c r="GT26" s="232"/>
      <c r="GU26" s="232"/>
      <c r="GV26" s="232"/>
      <c r="GW26" s="232"/>
      <c r="GX26" s="232"/>
      <c r="GY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L26" s="232"/>
      <c r="HM26" s="232"/>
      <c r="HN26" s="232"/>
      <c r="HO26" s="232"/>
      <c r="HP26" s="232"/>
      <c r="HQ26" s="232"/>
      <c r="HR26" s="232"/>
      <c r="HS26" s="232"/>
      <c r="HT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G26" s="232"/>
      <c r="IH26" s="232"/>
      <c r="II26" s="232"/>
      <c r="IJ26" s="232"/>
      <c r="IK26" s="232"/>
      <c r="IL26" s="232"/>
      <c r="IM26" s="232"/>
      <c r="IN26" s="232"/>
      <c r="IO26" s="232"/>
      <c r="IP26" s="232"/>
      <c r="IQ26" s="232"/>
      <c r="IR26" s="232"/>
      <c r="IS26" s="232"/>
      <c r="IT26" s="232"/>
      <c r="IU26" s="232"/>
      <c r="IV26" s="232"/>
    </row>
    <row r="27" spans="1:256" x14ac:dyDescent="0.25">
      <c r="A27" s="240" t="s">
        <v>726</v>
      </c>
      <c r="B27" s="247" t="s">
        <v>727</v>
      </c>
      <c r="C27" s="248" t="s">
        <v>1138</v>
      </c>
      <c r="D27" s="236">
        <v>0</v>
      </c>
      <c r="E27" s="237">
        <f>+INDEX(Sheet1!A:D,MATCH(MapaIII!C27,Sheet1!A:A,0),2)</f>
        <v>2000000</v>
      </c>
      <c r="F27" s="237">
        <f>D27+E27</f>
        <v>2000000</v>
      </c>
      <c r="G27" s="243">
        <f>F27/$F$9</f>
        <v>4.1500901087277338E-3</v>
      </c>
      <c r="H27" s="99"/>
      <c r="I27" s="232"/>
      <c r="J27" s="232"/>
      <c r="K27" s="232"/>
      <c r="M27" s="232"/>
      <c r="N27" s="218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  <c r="GA27" s="232"/>
      <c r="GB27" s="232"/>
      <c r="GC27" s="232"/>
      <c r="GD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Q27" s="232"/>
      <c r="GR27" s="232"/>
      <c r="GS27" s="232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232"/>
      <c r="HP27" s="232"/>
      <c r="HQ27" s="232"/>
      <c r="HR27" s="232"/>
      <c r="HS27" s="232"/>
      <c r="HT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G27" s="232"/>
      <c r="IH27" s="232"/>
      <c r="II27" s="232"/>
      <c r="IJ27" s="232"/>
      <c r="IK27" s="232"/>
      <c r="IL27" s="232"/>
      <c r="IM27" s="232"/>
      <c r="IN27" s="232"/>
      <c r="IO27" s="232"/>
      <c r="IP27" s="232"/>
      <c r="IQ27" s="232"/>
      <c r="IR27" s="232"/>
      <c r="IS27" s="232"/>
      <c r="IT27" s="232"/>
      <c r="IU27" s="232"/>
      <c r="IV27" s="232"/>
    </row>
    <row r="28" spans="1:256" x14ac:dyDescent="0.25">
      <c r="A28" s="240" t="s">
        <v>729</v>
      </c>
      <c r="B28" s="247" t="s">
        <v>469</v>
      </c>
      <c r="C28" s="249" t="s">
        <v>730</v>
      </c>
      <c r="D28" s="236">
        <v>0</v>
      </c>
      <c r="E28" s="237">
        <f>+INDEX(Sheet1!A:D,MATCH(MapaIII!C28,Sheet1!A:A,0),2)</f>
        <v>1200000</v>
      </c>
      <c r="F28" s="237">
        <f>D28+E28</f>
        <v>1200000</v>
      </c>
      <c r="G28" s="243">
        <f t="shared" si="0"/>
        <v>2.4900540652366401E-3</v>
      </c>
      <c r="H28" s="99">
        <v>1700000</v>
      </c>
      <c r="I28" s="232"/>
      <c r="J28" s="232"/>
      <c r="K28" s="232"/>
      <c r="L28" s="203">
        <v>29</v>
      </c>
      <c r="M28" s="232"/>
      <c r="N28" s="218">
        <f t="shared" si="3"/>
        <v>500000</v>
      </c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  <c r="FL28" s="232"/>
      <c r="FM28" s="232"/>
      <c r="FN28" s="232"/>
      <c r="FO28" s="232"/>
      <c r="FP28" s="232"/>
      <c r="FQ28" s="232"/>
      <c r="FR28" s="232"/>
      <c r="FS28" s="232"/>
      <c r="FT28" s="232"/>
      <c r="FU28" s="232"/>
      <c r="FV28" s="232"/>
      <c r="FW28" s="232"/>
      <c r="FX28" s="232"/>
      <c r="FY28" s="232"/>
      <c r="FZ28" s="232"/>
      <c r="GA28" s="232"/>
      <c r="GB28" s="232"/>
      <c r="GC28" s="232"/>
      <c r="GD28" s="232"/>
      <c r="GE28" s="232"/>
      <c r="GF28" s="232"/>
      <c r="GG28" s="232"/>
      <c r="GH28" s="232"/>
      <c r="GI28" s="232"/>
      <c r="GJ28" s="232"/>
      <c r="GK28" s="232"/>
      <c r="GL28" s="232"/>
      <c r="GM28" s="232"/>
      <c r="GN28" s="232"/>
      <c r="GO28" s="232"/>
      <c r="GP28" s="232"/>
      <c r="GQ28" s="232"/>
      <c r="GR28" s="232"/>
      <c r="GS28" s="232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232"/>
      <c r="HP28" s="232"/>
      <c r="HQ28" s="232"/>
      <c r="HR28" s="232"/>
      <c r="HS28" s="232"/>
      <c r="HT28" s="232"/>
      <c r="HU28" s="232"/>
      <c r="HV28" s="232"/>
      <c r="HW28" s="232"/>
      <c r="HX28" s="232"/>
      <c r="HY28" s="232"/>
      <c r="HZ28" s="232"/>
      <c r="IA28" s="232"/>
      <c r="IB28" s="232"/>
      <c r="IC28" s="232"/>
      <c r="ID28" s="232"/>
      <c r="IE28" s="232"/>
      <c r="IF28" s="232"/>
      <c r="IG28" s="232"/>
      <c r="IH28" s="232"/>
      <c r="II28" s="232"/>
      <c r="IJ28" s="232"/>
      <c r="IK28" s="232"/>
      <c r="IL28" s="232"/>
      <c r="IM28" s="232"/>
      <c r="IN28" s="232"/>
      <c r="IO28" s="232"/>
      <c r="IP28" s="232"/>
      <c r="IQ28" s="232"/>
      <c r="IR28" s="232"/>
      <c r="IS28" s="232"/>
      <c r="IT28" s="232"/>
      <c r="IU28" s="232"/>
      <c r="IV28" s="232"/>
    </row>
    <row r="29" spans="1:256" x14ac:dyDescent="0.25">
      <c r="A29" s="240" t="s">
        <v>733</v>
      </c>
      <c r="B29" s="247" t="s">
        <v>469</v>
      </c>
      <c r="C29" s="249" t="s">
        <v>734</v>
      </c>
      <c r="D29" s="236">
        <v>0</v>
      </c>
      <c r="E29" s="237">
        <f>+INDEX(Sheet1!A:D,MATCH(MapaIII!C29,Sheet1!A:A,0),2)</f>
        <v>4000000</v>
      </c>
      <c r="F29" s="237">
        <f>E29+D29</f>
        <v>4000000</v>
      </c>
      <c r="G29" s="243">
        <f t="shared" si="0"/>
        <v>8.3001802174554676E-3</v>
      </c>
      <c r="H29" s="99">
        <v>5000000</v>
      </c>
      <c r="I29" s="232"/>
      <c r="J29" s="232"/>
      <c r="K29" s="232"/>
      <c r="L29" s="203">
        <v>28</v>
      </c>
      <c r="M29" s="232"/>
      <c r="N29" s="218">
        <f t="shared" si="3"/>
        <v>1000000</v>
      </c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2"/>
      <c r="FY29" s="232"/>
      <c r="FZ29" s="232"/>
      <c r="GA29" s="232"/>
      <c r="GB29" s="232"/>
      <c r="GC29" s="232"/>
      <c r="GD29" s="232"/>
      <c r="GE29" s="232"/>
      <c r="GF29" s="232"/>
      <c r="GG29" s="232"/>
      <c r="GH29" s="232"/>
      <c r="GI29" s="232"/>
      <c r="GJ29" s="232"/>
      <c r="GK29" s="232"/>
      <c r="GL29" s="232"/>
      <c r="GM29" s="232"/>
      <c r="GN29" s="232"/>
      <c r="GO29" s="232"/>
      <c r="GP29" s="232"/>
      <c r="GQ29" s="232"/>
      <c r="GR29" s="232"/>
      <c r="GS29" s="232"/>
      <c r="GT29" s="232"/>
      <c r="GU29" s="232"/>
      <c r="GV29" s="232"/>
      <c r="GW29" s="232"/>
      <c r="GX29" s="232"/>
      <c r="GY29" s="232"/>
      <c r="GZ29" s="232"/>
      <c r="HA29" s="232"/>
      <c r="HB29" s="232"/>
      <c r="HC29" s="232"/>
      <c r="HD29" s="232"/>
      <c r="HE29" s="232"/>
      <c r="HF29" s="232"/>
      <c r="HG29" s="232"/>
      <c r="HH29" s="232"/>
      <c r="HI29" s="232"/>
      <c r="HJ29" s="232"/>
      <c r="HK29" s="232"/>
      <c r="HL29" s="232"/>
      <c r="HM29" s="232"/>
      <c r="HN29" s="232"/>
      <c r="HO29" s="232"/>
      <c r="HP29" s="232"/>
      <c r="HQ29" s="232"/>
      <c r="HR29" s="232"/>
      <c r="HS29" s="232"/>
      <c r="HT29" s="232"/>
      <c r="HU29" s="232"/>
      <c r="HV29" s="232"/>
      <c r="HW29" s="232"/>
      <c r="HX29" s="232"/>
      <c r="HY29" s="232"/>
      <c r="HZ29" s="232"/>
      <c r="IA29" s="232"/>
      <c r="IB29" s="232"/>
      <c r="IC29" s="232"/>
      <c r="ID29" s="232"/>
      <c r="IE29" s="232"/>
      <c r="IF29" s="232"/>
      <c r="IG29" s="232"/>
      <c r="IH29" s="232"/>
      <c r="II29" s="232"/>
      <c r="IJ29" s="232"/>
      <c r="IK29" s="232"/>
      <c r="IL29" s="232"/>
      <c r="IM29" s="232"/>
      <c r="IN29" s="232"/>
      <c r="IO29" s="232"/>
      <c r="IP29" s="232"/>
      <c r="IQ29" s="232"/>
      <c r="IR29" s="232"/>
      <c r="IS29" s="232"/>
      <c r="IT29" s="232"/>
      <c r="IU29" s="232"/>
      <c r="IV29" s="232"/>
    </row>
    <row r="30" spans="1:256" x14ac:dyDescent="0.2">
      <c r="A30" s="219" t="s">
        <v>735</v>
      </c>
      <c r="B30" s="220"/>
      <c r="C30" s="221" t="s">
        <v>736</v>
      </c>
      <c r="D30" s="238">
        <f>+SUM(D31:D34)</f>
        <v>0</v>
      </c>
      <c r="E30" s="222">
        <f>+SUM(E31:E34)</f>
        <v>17400000</v>
      </c>
      <c r="F30" s="222">
        <f>SUM(D30:E30)</f>
        <v>17400000</v>
      </c>
      <c r="G30" s="223">
        <f t="shared" si="0"/>
        <v>3.610578394593128E-2</v>
      </c>
      <c r="H30" s="203">
        <v>0</v>
      </c>
      <c r="I30" s="239"/>
      <c r="J30" s="239"/>
      <c r="K30" s="224"/>
      <c r="L30" s="203" t="e">
        <v>#N/A</v>
      </c>
      <c r="M30" s="224"/>
      <c r="N30" s="218">
        <f t="shared" si="3"/>
        <v>-17400000</v>
      </c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  <c r="FL30" s="224"/>
      <c r="FM30" s="224"/>
      <c r="FN30" s="224"/>
      <c r="FO30" s="224"/>
      <c r="FP30" s="224"/>
      <c r="FQ30" s="224"/>
      <c r="FR30" s="224"/>
      <c r="FS30" s="224"/>
      <c r="FT30" s="224"/>
      <c r="FU30" s="224"/>
      <c r="FV30" s="224"/>
      <c r="FW30" s="224"/>
      <c r="FX30" s="224"/>
      <c r="FY30" s="224"/>
      <c r="FZ30" s="224"/>
      <c r="GA30" s="224"/>
      <c r="GB30" s="224"/>
      <c r="GC30" s="224"/>
      <c r="GD30" s="224"/>
      <c r="GE30" s="224"/>
      <c r="GF30" s="224"/>
      <c r="GG30" s="224"/>
      <c r="GH30" s="224"/>
      <c r="GI30" s="224"/>
      <c r="GJ30" s="224"/>
      <c r="GK30" s="224"/>
      <c r="GL30" s="224"/>
      <c r="GM30" s="224"/>
      <c r="GN30" s="224"/>
      <c r="GO30" s="224"/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  <c r="HG30" s="224"/>
      <c r="HH30" s="224"/>
      <c r="HI30" s="224"/>
      <c r="HJ30" s="224"/>
      <c r="HK30" s="224"/>
      <c r="HL30" s="224"/>
      <c r="HM30" s="224"/>
      <c r="HN30" s="224"/>
      <c r="HO30" s="224"/>
      <c r="HP30" s="224"/>
      <c r="HQ30" s="224"/>
      <c r="HR30" s="224"/>
      <c r="HS30" s="224"/>
      <c r="HT30" s="224"/>
      <c r="HU30" s="224"/>
      <c r="HV30" s="224"/>
      <c r="HW30" s="224"/>
      <c r="HX30" s="224"/>
      <c r="HY30" s="224"/>
      <c r="HZ30" s="224"/>
      <c r="IA30" s="224"/>
      <c r="IB30" s="224"/>
      <c r="IC30" s="224"/>
      <c r="ID30" s="224"/>
      <c r="IE30" s="224"/>
      <c r="IF30" s="224"/>
      <c r="IG30" s="224"/>
      <c r="IH30" s="224"/>
      <c r="II30" s="224"/>
      <c r="IJ30" s="224"/>
      <c r="IK30" s="224"/>
      <c r="IL30" s="224"/>
      <c r="IM30" s="224"/>
      <c r="IN30" s="224"/>
      <c r="IO30" s="224"/>
      <c r="IP30" s="224"/>
      <c r="IQ30" s="224"/>
      <c r="IR30" s="224"/>
      <c r="IS30" s="224"/>
      <c r="IT30" s="224"/>
      <c r="IU30" s="224"/>
      <c r="IV30" s="224"/>
    </row>
    <row r="31" spans="1:256" x14ac:dyDescent="0.25">
      <c r="A31" s="240" t="s">
        <v>737</v>
      </c>
      <c r="B31" s="247" t="s">
        <v>469</v>
      </c>
      <c r="C31" s="250" t="s">
        <v>738</v>
      </c>
      <c r="D31" s="236">
        <v>0</v>
      </c>
      <c r="E31" s="237">
        <f>+INDEX(Sheet1!A:D,MATCH(MapaIII!C31,Sheet1!A:A,0),2)</f>
        <v>4400000</v>
      </c>
      <c r="F31" s="237">
        <f t="shared" ref="F31:F34" si="4">E31+D31</f>
        <v>4400000</v>
      </c>
      <c r="G31" s="243">
        <f t="shared" si="0"/>
        <v>9.130198239201014E-3</v>
      </c>
      <c r="H31" s="99">
        <v>1000000</v>
      </c>
      <c r="I31" s="239"/>
      <c r="J31" s="239"/>
      <c r="L31" s="203">
        <v>36</v>
      </c>
      <c r="N31" s="218">
        <f t="shared" si="3"/>
        <v>-3400000</v>
      </c>
    </row>
    <row r="32" spans="1:256" x14ac:dyDescent="0.25">
      <c r="A32" s="240" t="s">
        <v>739</v>
      </c>
      <c r="B32" s="247" t="s">
        <v>449</v>
      </c>
      <c r="C32" s="250" t="s">
        <v>1139</v>
      </c>
      <c r="D32" s="236">
        <v>0</v>
      </c>
      <c r="E32" s="237">
        <f>+INDEX(Sheet1!A:D,MATCH(MapaIII!C32,Sheet1!A:A,0),2)</f>
        <v>6500000</v>
      </c>
      <c r="F32" s="237">
        <f t="shared" si="4"/>
        <v>6500000</v>
      </c>
      <c r="G32" s="243">
        <f t="shared" si="0"/>
        <v>1.3487792853365134E-2</v>
      </c>
      <c r="H32" s="99">
        <v>4000000</v>
      </c>
      <c r="I32" s="239"/>
      <c r="J32" s="239"/>
      <c r="L32" s="203">
        <v>21</v>
      </c>
      <c r="N32" s="218">
        <f t="shared" si="3"/>
        <v>-2500000</v>
      </c>
    </row>
    <row r="33" spans="1:256" x14ac:dyDescent="0.25">
      <c r="A33" s="240" t="s">
        <v>739</v>
      </c>
      <c r="B33" s="247" t="s">
        <v>485</v>
      </c>
      <c r="C33" s="250" t="s">
        <v>741</v>
      </c>
      <c r="D33" s="236">
        <v>0</v>
      </c>
      <c r="E33" s="237">
        <f>+INDEX(Sheet1!A:D,MATCH(MapaIII!C33,Sheet1!A:A,0),2)</f>
        <v>4000000</v>
      </c>
      <c r="F33" s="237">
        <f t="shared" si="4"/>
        <v>4000000</v>
      </c>
      <c r="G33" s="243">
        <f t="shared" si="0"/>
        <v>8.3001802174554676E-3</v>
      </c>
      <c r="H33" s="99">
        <v>4000000</v>
      </c>
      <c r="I33" s="239"/>
      <c r="J33" s="239"/>
      <c r="L33" s="203">
        <v>65</v>
      </c>
      <c r="N33" s="218">
        <f t="shared" si="3"/>
        <v>0</v>
      </c>
    </row>
    <row r="34" spans="1:256" x14ac:dyDescent="0.25">
      <c r="A34" s="240" t="s">
        <v>739</v>
      </c>
      <c r="B34" s="247" t="s">
        <v>469</v>
      </c>
      <c r="C34" s="250" t="s">
        <v>1134</v>
      </c>
      <c r="D34" s="236">
        <v>0</v>
      </c>
      <c r="E34" s="237">
        <f>+INDEX(Sheet1!A:D,MATCH(MapaIII!C34,Sheet1!A:A,0),2)</f>
        <v>2500000</v>
      </c>
      <c r="F34" s="237">
        <f t="shared" si="4"/>
        <v>2500000</v>
      </c>
      <c r="G34" s="243">
        <f t="shared" si="0"/>
        <v>5.1876126359096672E-3</v>
      </c>
      <c r="H34" s="99">
        <v>1000000</v>
      </c>
      <c r="I34" s="239"/>
      <c r="J34" s="239"/>
      <c r="L34" s="203">
        <v>22</v>
      </c>
      <c r="N34" s="218">
        <f t="shared" si="3"/>
        <v>-1500000</v>
      </c>
    </row>
    <row r="35" spans="1:256" x14ac:dyDescent="0.2">
      <c r="A35" s="219" t="s">
        <v>744</v>
      </c>
      <c r="B35" s="220"/>
      <c r="C35" s="221" t="s">
        <v>745</v>
      </c>
      <c r="D35" s="238">
        <f>+SUM(D36:D57)</f>
        <v>0</v>
      </c>
      <c r="E35" s="222">
        <f>+SUM(E36:E57)</f>
        <v>209400000</v>
      </c>
      <c r="F35" s="222">
        <f>D35+E35</f>
        <v>209400000</v>
      </c>
      <c r="G35" s="223">
        <f t="shared" si="0"/>
        <v>0.43451443438379372</v>
      </c>
      <c r="H35" s="203">
        <v>0</v>
      </c>
      <c r="I35" s="232"/>
      <c r="J35" s="232"/>
      <c r="L35" s="203" t="e">
        <v>#N/A</v>
      </c>
      <c r="N35" s="218">
        <f t="shared" si="3"/>
        <v>-209400000</v>
      </c>
    </row>
    <row r="36" spans="1:256" x14ac:dyDescent="0.25">
      <c r="A36" s="240" t="s">
        <v>746</v>
      </c>
      <c r="B36" s="247" t="s">
        <v>464</v>
      </c>
      <c r="C36" s="252" t="s">
        <v>747</v>
      </c>
      <c r="D36" s="236">
        <v>0</v>
      </c>
      <c r="E36" s="237">
        <f>+INDEX(Sheet1!A:D,MATCH(MapaIII!C36,Sheet1!A:A,0),2)</f>
        <v>1500000</v>
      </c>
      <c r="F36" s="237">
        <f>D36+E36</f>
        <v>1500000</v>
      </c>
      <c r="G36" s="243">
        <f t="shared" si="0"/>
        <v>3.1125675815457999E-3</v>
      </c>
      <c r="H36" s="99">
        <v>2000000</v>
      </c>
      <c r="I36" s="232"/>
      <c r="J36" s="232"/>
      <c r="K36" s="232"/>
      <c r="L36" s="203">
        <v>26</v>
      </c>
      <c r="M36" s="232"/>
      <c r="N36" s="218">
        <f t="shared" si="3"/>
        <v>500000</v>
      </c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/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2"/>
      <c r="FY36" s="232"/>
      <c r="FZ36" s="232"/>
      <c r="GA36" s="232"/>
      <c r="GB36" s="232"/>
      <c r="GC36" s="232"/>
      <c r="GD36" s="232"/>
      <c r="GE36" s="232"/>
      <c r="GF36" s="232"/>
      <c r="GG36" s="232"/>
      <c r="GH36" s="232"/>
      <c r="GI36" s="232"/>
      <c r="GJ36" s="232"/>
      <c r="GK36" s="232"/>
      <c r="GL36" s="232"/>
      <c r="GM36" s="232"/>
      <c r="GN36" s="232"/>
      <c r="GO36" s="232"/>
      <c r="GP36" s="232"/>
      <c r="GQ36" s="232"/>
      <c r="GR36" s="232"/>
      <c r="GS36" s="232"/>
      <c r="GT36" s="232"/>
      <c r="GU36" s="232"/>
      <c r="GV36" s="232"/>
      <c r="GW36" s="232"/>
      <c r="GX36" s="232"/>
      <c r="GY36" s="232"/>
      <c r="GZ36" s="232"/>
      <c r="HA36" s="232"/>
      <c r="HB36" s="232"/>
      <c r="HC36" s="232"/>
      <c r="HD36" s="232"/>
      <c r="HE36" s="232"/>
      <c r="HF36" s="232"/>
      <c r="HG36" s="232"/>
      <c r="HH36" s="232"/>
      <c r="HI36" s="232"/>
      <c r="HJ36" s="232"/>
      <c r="HK36" s="232"/>
      <c r="HL36" s="232"/>
      <c r="HM36" s="232"/>
      <c r="HN36" s="232"/>
      <c r="HO36" s="232"/>
      <c r="HP36" s="232"/>
      <c r="HQ36" s="232"/>
      <c r="HR36" s="232"/>
      <c r="HS36" s="232"/>
      <c r="HT36" s="232"/>
      <c r="HU36" s="232"/>
      <c r="HV36" s="232"/>
      <c r="HW36" s="232"/>
      <c r="HX36" s="232"/>
      <c r="HY36" s="232"/>
      <c r="HZ36" s="232"/>
      <c r="IA36" s="232"/>
      <c r="IB36" s="232"/>
      <c r="IC36" s="232"/>
      <c r="ID36" s="232"/>
      <c r="IE36" s="232"/>
      <c r="IF36" s="232"/>
      <c r="IG36" s="232"/>
      <c r="IH36" s="232"/>
      <c r="II36" s="232"/>
      <c r="IJ36" s="232"/>
      <c r="IK36" s="232"/>
      <c r="IL36" s="232"/>
      <c r="IM36" s="232"/>
      <c r="IN36" s="232"/>
      <c r="IO36" s="232"/>
      <c r="IP36" s="232"/>
      <c r="IQ36" s="232"/>
      <c r="IR36" s="232"/>
      <c r="IS36" s="232"/>
      <c r="IT36" s="232"/>
      <c r="IU36" s="232"/>
      <c r="IV36" s="232"/>
    </row>
    <row r="37" spans="1:256" ht="18.75" customHeight="1" x14ac:dyDescent="0.25">
      <c r="A37" s="240" t="s">
        <v>746</v>
      </c>
      <c r="B37" s="247" t="s">
        <v>469</v>
      </c>
      <c r="C37" s="252" t="s">
        <v>861</v>
      </c>
      <c r="D37" s="236"/>
      <c r="E37" s="237">
        <f>+INDEX(Sheet1!A:D,MATCH(MapaIII!C37,Sheet1!A:A,0),2)</f>
        <v>2000000</v>
      </c>
      <c r="F37" s="237">
        <f t="shared" ref="F37:F47" si="5">D37+E37</f>
        <v>2000000</v>
      </c>
      <c r="G37" s="243">
        <f t="shared" ref="G37:G47" si="6">F37/$F$9</f>
        <v>4.1500901087277338E-3</v>
      </c>
      <c r="H37" s="99"/>
      <c r="I37" s="232"/>
      <c r="J37" s="232"/>
      <c r="K37" s="232"/>
      <c r="M37" s="232"/>
      <c r="N37" s="218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2"/>
      <c r="GG37" s="232"/>
      <c r="GH37" s="232"/>
      <c r="GI37" s="232"/>
      <c r="GJ37" s="232"/>
      <c r="GK37" s="232"/>
      <c r="GL37" s="232"/>
      <c r="GM37" s="232"/>
      <c r="GN37" s="232"/>
      <c r="GO37" s="232"/>
      <c r="GP37" s="232"/>
      <c r="GQ37" s="232"/>
      <c r="GR37" s="232"/>
      <c r="GS37" s="232"/>
      <c r="GT37" s="232"/>
      <c r="GU37" s="232"/>
      <c r="GV37" s="232"/>
      <c r="GW37" s="232"/>
      <c r="GX37" s="232"/>
      <c r="GY37" s="232"/>
      <c r="GZ37" s="232"/>
      <c r="HA37" s="232"/>
      <c r="HB37" s="232"/>
      <c r="HC37" s="232"/>
      <c r="HD37" s="232"/>
      <c r="HE37" s="232"/>
      <c r="HF37" s="232"/>
      <c r="HG37" s="232"/>
      <c r="HH37" s="232"/>
      <c r="HI37" s="232"/>
      <c r="HJ37" s="232"/>
      <c r="HK37" s="232"/>
      <c r="HL37" s="232"/>
      <c r="HM37" s="232"/>
      <c r="HN37" s="232"/>
      <c r="HO37" s="232"/>
      <c r="HP37" s="232"/>
      <c r="HQ37" s="232"/>
      <c r="HR37" s="232"/>
      <c r="HS37" s="232"/>
      <c r="HT37" s="232"/>
      <c r="HU37" s="232"/>
      <c r="HV37" s="232"/>
      <c r="HW37" s="232"/>
      <c r="HX37" s="232"/>
      <c r="HY37" s="232"/>
      <c r="HZ37" s="232"/>
      <c r="IA37" s="232"/>
      <c r="IB37" s="232"/>
      <c r="IC37" s="232"/>
      <c r="ID37" s="232"/>
      <c r="IE37" s="232"/>
      <c r="IF37" s="232"/>
      <c r="IG37" s="232"/>
      <c r="IH37" s="232"/>
      <c r="II37" s="232"/>
      <c r="IJ37" s="232"/>
      <c r="IK37" s="232"/>
      <c r="IL37" s="232"/>
      <c r="IM37" s="232"/>
      <c r="IN37" s="232"/>
      <c r="IO37" s="232"/>
      <c r="IP37" s="232"/>
      <c r="IQ37" s="232"/>
      <c r="IR37" s="232"/>
      <c r="IS37" s="232"/>
      <c r="IT37" s="232"/>
      <c r="IU37" s="232"/>
      <c r="IV37" s="232"/>
    </row>
    <row r="38" spans="1:256" ht="18.75" customHeight="1" x14ac:dyDescent="0.25">
      <c r="A38" s="240" t="s">
        <v>746</v>
      </c>
      <c r="B38" s="247" t="s">
        <v>469</v>
      </c>
      <c r="C38" s="252" t="s">
        <v>1021</v>
      </c>
      <c r="D38" s="236"/>
      <c r="E38" s="237">
        <f>+INDEX(Sheet1!A:D,MATCH(MapaIII!C38,Sheet1!A:A,0),2)</f>
        <v>3000000</v>
      </c>
      <c r="F38" s="237">
        <f t="shared" si="5"/>
        <v>3000000</v>
      </c>
      <c r="G38" s="243">
        <f t="shared" si="6"/>
        <v>6.2251351630915998E-3</v>
      </c>
      <c r="H38" s="99"/>
      <c r="I38" s="232"/>
      <c r="J38" s="232"/>
      <c r="K38" s="232"/>
      <c r="M38" s="232"/>
      <c r="N38" s="218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232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2"/>
      <c r="FS38" s="232"/>
      <c r="FT38" s="232"/>
      <c r="FU38" s="232"/>
      <c r="FV38" s="232"/>
      <c r="FW38" s="232"/>
      <c r="FX38" s="232"/>
      <c r="FY38" s="232"/>
      <c r="FZ38" s="232"/>
      <c r="GA38" s="232"/>
      <c r="GB38" s="232"/>
      <c r="GC38" s="232"/>
      <c r="GD38" s="232"/>
      <c r="GE38" s="232"/>
      <c r="GF38" s="232"/>
      <c r="GG38" s="232"/>
      <c r="GH38" s="232"/>
      <c r="GI38" s="232"/>
      <c r="GJ38" s="232"/>
      <c r="GK38" s="232"/>
      <c r="GL38" s="232"/>
      <c r="GM38" s="232"/>
      <c r="GN38" s="232"/>
      <c r="GO38" s="232"/>
      <c r="GP38" s="232"/>
      <c r="GQ38" s="232"/>
      <c r="GR38" s="232"/>
      <c r="GS38" s="232"/>
      <c r="GT38" s="232"/>
      <c r="GU38" s="232"/>
      <c r="GV38" s="232"/>
      <c r="GW38" s="232"/>
      <c r="GX38" s="232"/>
      <c r="GY38" s="232"/>
      <c r="GZ38" s="232"/>
      <c r="HA38" s="232"/>
      <c r="HB38" s="232"/>
      <c r="HC38" s="232"/>
      <c r="HD38" s="232"/>
      <c r="HE38" s="232"/>
      <c r="HF38" s="232"/>
      <c r="HG38" s="232"/>
      <c r="HH38" s="232"/>
      <c r="HI38" s="232"/>
      <c r="HJ38" s="232"/>
      <c r="HK38" s="232"/>
      <c r="HL38" s="232"/>
      <c r="HM38" s="232"/>
      <c r="HN38" s="232"/>
      <c r="HO38" s="232"/>
      <c r="HP38" s="232"/>
      <c r="HQ38" s="232"/>
      <c r="HR38" s="232"/>
      <c r="HS38" s="232"/>
      <c r="HT38" s="232"/>
      <c r="HU38" s="232"/>
      <c r="HV38" s="232"/>
      <c r="HW38" s="232"/>
      <c r="HX38" s="232"/>
      <c r="HY38" s="232"/>
      <c r="HZ38" s="232"/>
      <c r="IA38" s="232"/>
      <c r="IB38" s="232"/>
      <c r="IC38" s="232"/>
      <c r="ID38" s="232"/>
      <c r="IE38" s="232"/>
      <c r="IF38" s="232"/>
      <c r="IG38" s="232"/>
      <c r="IH38" s="232"/>
      <c r="II38" s="232"/>
      <c r="IJ38" s="232"/>
      <c r="IK38" s="232"/>
      <c r="IL38" s="232"/>
      <c r="IM38" s="232"/>
      <c r="IN38" s="232"/>
      <c r="IO38" s="232"/>
      <c r="IP38" s="232"/>
      <c r="IQ38" s="232"/>
      <c r="IR38" s="232"/>
      <c r="IS38" s="232"/>
      <c r="IT38" s="232"/>
      <c r="IU38" s="232"/>
      <c r="IV38" s="232"/>
    </row>
    <row r="39" spans="1:256" ht="18.75" customHeight="1" x14ac:dyDescent="0.25">
      <c r="A39" s="240" t="s">
        <v>746</v>
      </c>
      <c r="B39" s="247" t="s">
        <v>469</v>
      </c>
      <c r="C39" s="252" t="s">
        <v>886</v>
      </c>
      <c r="D39" s="236"/>
      <c r="E39" s="237">
        <f>+INDEX(Sheet1!A:D,MATCH(MapaIII!C39,Sheet1!A:A,0),2)</f>
        <v>2400000</v>
      </c>
      <c r="F39" s="237">
        <f t="shared" si="5"/>
        <v>2400000</v>
      </c>
      <c r="G39" s="243">
        <f t="shared" si="6"/>
        <v>4.9801081304732802E-3</v>
      </c>
      <c r="H39" s="99"/>
      <c r="I39" s="232"/>
      <c r="J39" s="232"/>
      <c r="K39" s="232"/>
      <c r="M39" s="232"/>
      <c r="N39" s="218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  <c r="GA39" s="232"/>
      <c r="GB39" s="232"/>
      <c r="GC39" s="232"/>
      <c r="GD39" s="232"/>
      <c r="GE39" s="232"/>
      <c r="GF39" s="232"/>
      <c r="GG39" s="232"/>
      <c r="GH39" s="232"/>
      <c r="GI39" s="232"/>
      <c r="GJ39" s="232"/>
      <c r="GK39" s="232"/>
      <c r="GL39" s="232"/>
      <c r="GM39" s="232"/>
      <c r="GN39" s="232"/>
      <c r="GO39" s="232"/>
      <c r="GP39" s="232"/>
      <c r="GQ39" s="232"/>
      <c r="GR39" s="232"/>
      <c r="GS39" s="232"/>
      <c r="GT39" s="232"/>
      <c r="GU39" s="232"/>
      <c r="GV39" s="232"/>
      <c r="GW39" s="232"/>
      <c r="GX39" s="232"/>
      <c r="GY39" s="232"/>
      <c r="GZ39" s="232"/>
      <c r="HA39" s="232"/>
      <c r="HB39" s="232"/>
      <c r="HC39" s="232"/>
      <c r="HD39" s="232"/>
      <c r="HE39" s="232"/>
      <c r="HF39" s="232"/>
      <c r="HG39" s="232"/>
      <c r="HH39" s="232"/>
      <c r="HI39" s="232"/>
      <c r="HJ39" s="232"/>
      <c r="HK39" s="232"/>
      <c r="HL39" s="232"/>
      <c r="HM39" s="232"/>
      <c r="HN39" s="232"/>
      <c r="HO39" s="232"/>
      <c r="HP39" s="232"/>
      <c r="HQ39" s="232"/>
      <c r="HR39" s="232"/>
      <c r="HS39" s="232"/>
      <c r="HT39" s="232"/>
      <c r="HU39" s="232"/>
      <c r="HV39" s="232"/>
      <c r="HW39" s="232"/>
      <c r="HX39" s="232"/>
      <c r="HY39" s="232"/>
      <c r="HZ39" s="232"/>
      <c r="IA39" s="232"/>
      <c r="IB39" s="232"/>
      <c r="IC39" s="232"/>
      <c r="ID39" s="232"/>
      <c r="IE39" s="232"/>
      <c r="IF39" s="232"/>
      <c r="IG39" s="232"/>
      <c r="IH39" s="232"/>
      <c r="II39" s="232"/>
      <c r="IJ39" s="232"/>
      <c r="IK39" s="232"/>
      <c r="IL39" s="232"/>
      <c r="IM39" s="232"/>
      <c r="IN39" s="232"/>
      <c r="IO39" s="232"/>
      <c r="IP39" s="232"/>
      <c r="IQ39" s="232"/>
      <c r="IR39" s="232"/>
      <c r="IS39" s="232"/>
      <c r="IT39" s="232"/>
      <c r="IU39" s="232"/>
      <c r="IV39" s="232"/>
    </row>
    <row r="40" spans="1:256" ht="23.25" customHeight="1" x14ac:dyDescent="0.25">
      <c r="A40" s="240" t="s">
        <v>746</v>
      </c>
      <c r="B40" s="247" t="s">
        <v>469</v>
      </c>
      <c r="C40" s="252" t="s">
        <v>1140</v>
      </c>
      <c r="D40" s="236"/>
      <c r="E40" s="237">
        <f>+INDEX(Sheet1!A:D,MATCH(MapaIII!C40,Sheet1!A:A,0),2)</f>
        <v>4700000</v>
      </c>
      <c r="F40" s="237">
        <f t="shared" si="5"/>
        <v>4700000</v>
      </c>
      <c r="G40" s="243">
        <f t="shared" si="6"/>
        <v>9.7527117555101742E-3</v>
      </c>
      <c r="H40" s="99"/>
      <c r="I40" s="232"/>
      <c r="J40" s="232"/>
      <c r="K40" s="232"/>
      <c r="M40" s="232"/>
      <c r="N40" s="218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  <c r="HF40" s="232"/>
      <c r="HG40" s="232"/>
      <c r="HH40" s="232"/>
      <c r="HI40" s="232"/>
      <c r="HJ40" s="232"/>
      <c r="HK40" s="232"/>
      <c r="HL40" s="232"/>
      <c r="HM40" s="232"/>
      <c r="HN40" s="232"/>
      <c r="HO40" s="232"/>
      <c r="HP40" s="232"/>
      <c r="HQ40" s="232"/>
      <c r="HR40" s="232"/>
      <c r="HS40" s="232"/>
      <c r="HT40" s="232"/>
      <c r="HU40" s="232"/>
      <c r="HV40" s="232"/>
      <c r="HW40" s="232"/>
      <c r="HX40" s="232"/>
      <c r="HY40" s="232"/>
      <c r="HZ40" s="232"/>
      <c r="IA40" s="232"/>
      <c r="IB40" s="232"/>
      <c r="IC40" s="232"/>
      <c r="ID40" s="232"/>
      <c r="IE40" s="232"/>
      <c r="IF40" s="232"/>
      <c r="IG40" s="232"/>
      <c r="IH40" s="232"/>
      <c r="II40" s="232"/>
      <c r="IJ40" s="232"/>
      <c r="IK40" s="232"/>
      <c r="IL40" s="232"/>
      <c r="IM40" s="232"/>
      <c r="IN40" s="232"/>
      <c r="IO40" s="232"/>
      <c r="IP40" s="232"/>
      <c r="IQ40" s="232"/>
      <c r="IR40" s="232"/>
      <c r="IS40" s="232"/>
      <c r="IT40" s="232"/>
      <c r="IU40" s="232"/>
      <c r="IV40" s="232"/>
    </row>
    <row r="41" spans="1:256" ht="18.75" customHeight="1" x14ac:dyDescent="0.25">
      <c r="A41" s="240" t="s">
        <v>746</v>
      </c>
      <c r="B41" s="247" t="s">
        <v>469</v>
      </c>
      <c r="C41" s="252" t="s">
        <v>1141</v>
      </c>
      <c r="D41" s="236"/>
      <c r="E41" s="237">
        <f>+INDEX(Sheet1!A:D,MATCH(MapaIII!C41,Sheet1!A:A,0),2)</f>
        <v>10000000</v>
      </c>
      <c r="F41" s="237">
        <f t="shared" si="5"/>
        <v>10000000</v>
      </c>
      <c r="G41" s="243">
        <f t="shared" si="6"/>
        <v>2.0750450543638669E-2</v>
      </c>
      <c r="H41" s="99"/>
      <c r="I41" s="232"/>
      <c r="J41" s="232"/>
      <c r="K41" s="232"/>
      <c r="M41" s="232"/>
      <c r="N41" s="218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232"/>
      <c r="DE41" s="232"/>
      <c r="DF41" s="232"/>
      <c r="DG41" s="232"/>
      <c r="DH41" s="232"/>
      <c r="DI41" s="232"/>
      <c r="DJ41" s="232"/>
      <c r="DK41" s="232"/>
      <c r="DL41" s="232"/>
      <c r="DM41" s="232"/>
      <c r="DN41" s="232"/>
      <c r="DO41" s="232"/>
      <c r="DP41" s="232"/>
      <c r="DQ41" s="232"/>
      <c r="DR41" s="232"/>
      <c r="DS41" s="232"/>
      <c r="DT41" s="232"/>
      <c r="DU41" s="232"/>
      <c r="DV41" s="232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  <c r="EO41" s="232"/>
      <c r="EP41" s="232"/>
      <c r="EQ41" s="232"/>
      <c r="ER41" s="232"/>
      <c r="ES41" s="232"/>
      <c r="ET41" s="232"/>
      <c r="EU41" s="232"/>
      <c r="EV41" s="232"/>
      <c r="EW41" s="232"/>
      <c r="EX41" s="232"/>
      <c r="EY41" s="232"/>
      <c r="EZ41" s="232"/>
      <c r="FA41" s="232"/>
      <c r="FB41" s="232"/>
      <c r="FC41" s="232"/>
      <c r="FD41" s="232"/>
      <c r="FE41" s="232"/>
      <c r="FF41" s="232"/>
      <c r="FG41" s="232"/>
      <c r="FH41" s="232"/>
      <c r="FI41" s="232"/>
      <c r="FJ41" s="232"/>
      <c r="FK41" s="232"/>
      <c r="FL41" s="232"/>
      <c r="FM41" s="232"/>
      <c r="FN41" s="232"/>
      <c r="FO41" s="232"/>
      <c r="FP41" s="232"/>
      <c r="FQ41" s="232"/>
      <c r="FR41" s="232"/>
      <c r="FS41" s="232"/>
      <c r="FT41" s="232"/>
      <c r="FU41" s="232"/>
      <c r="FV41" s="232"/>
      <c r="FW41" s="232"/>
      <c r="FX41" s="232"/>
      <c r="FY41" s="232"/>
      <c r="FZ41" s="232"/>
      <c r="GA41" s="232"/>
      <c r="GB41" s="232"/>
      <c r="GC41" s="232"/>
      <c r="GD41" s="232"/>
      <c r="GE41" s="232"/>
      <c r="GF41" s="232"/>
      <c r="GG41" s="232"/>
      <c r="GH41" s="232"/>
      <c r="GI41" s="232"/>
      <c r="GJ41" s="232"/>
      <c r="GK41" s="232"/>
      <c r="GL41" s="232"/>
      <c r="GM41" s="232"/>
      <c r="GN41" s="232"/>
      <c r="GO41" s="232"/>
      <c r="GP41" s="232"/>
      <c r="GQ41" s="232"/>
      <c r="GR41" s="232"/>
      <c r="GS41" s="232"/>
      <c r="GT41" s="232"/>
      <c r="GU41" s="232"/>
      <c r="GV41" s="232"/>
      <c r="GW41" s="232"/>
      <c r="GX41" s="232"/>
      <c r="GY41" s="232"/>
      <c r="GZ41" s="232"/>
      <c r="HA41" s="232"/>
      <c r="HB41" s="232"/>
      <c r="HC41" s="232"/>
      <c r="HD41" s="232"/>
      <c r="HE41" s="232"/>
      <c r="HF41" s="232"/>
      <c r="HG41" s="232"/>
      <c r="HH41" s="232"/>
      <c r="HI41" s="232"/>
      <c r="HJ41" s="232"/>
      <c r="HK41" s="232"/>
      <c r="HL41" s="232"/>
      <c r="HM41" s="232"/>
      <c r="HN41" s="232"/>
      <c r="HO41" s="232"/>
      <c r="HP41" s="232"/>
      <c r="HQ41" s="232"/>
      <c r="HR41" s="232"/>
      <c r="HS41" s="232"/>
      <c r="HT41" s="232"/>
      <c r="HU41" s="232"/>
      <c r="HV41" s="232"/>
      <c r="HW41" s="232"/>
      <c r="HX41" s="232"/>
      <c r="HY41" s="232"/>
      <c r="HZ41" s="232"/>
      <c r="IA41" s="232"/>
      <c r="IB41" s="232"/>
      <c r="IC41" s="232"/>
      <c r="ID41" s="232"/>
      <c r="IE41" s="232"/>
      <c r="IF41" s="232"/>
      <c r="IG41" s="232"/>
      <c r="IH41" s="232"/>
      <c r="II41" s="232"/>
      <c r="IJ41" s="232"/>
      <c r="IK41" s="232"/>
      <c r="IL41" s="232"/>
      <c r="IM41" s="232"/>
      <c r="IN41" s="232"/>
      <c r="IO41" s="232"/>
      <c r="IP41" s="232"/>
      <c r="IQ41" s="232"/>
      <c r="IR41" s="232"/>
      <c r="IS41" s="232"/>
      <c r="IT41" s="232"/>
      <c r="IU41" s="232"/>
      <c r="IV41" s="232"/>
    </row>
    <row r="42" spans="1:256" ht="18.75" customHeight="1" x14ac:dyDescent="0.25">
      <c r="A42" s="240" t="s">
        <v>746</v>
      </c>
      <c r="B42" s="247" t="s">
        <v>469</v>
      </c>
      <c r="C42" s="252" t="s">
        <v>1142</v>
      </c>
      <c r="D42" s="236"/>
      <c r="E42" s="237">
        <f>+INDEX(Sheet1!A:D,MATCH(MapaIII!C42,Sheet1!A:A,0),2)</f>
        <v>30000000</v>
      </c>
      <c r="F42" s="237">
        <f t="shared" si="5"/>
        <v>30000000</v>
      </c>
      <c r="G42" s="243">
        <f t="shared" si="6"/>
        <v>6.2251351630916003E-2</v>
      </c>
      <c r="H42" s="99"/>
      <c r="I42" s="232"/>
      <c r="J42" s="232"/>
      <c r="K42" s="232"/>
      <c r="M42" s="232"/>
      <c r="N42" s="218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  <c r="HF42" s="232"/>
      <c r="HG42" s="232"/>
      <c r="HH42" s="232"/>
      <c r="HI42" s="232"/>
      <c r="HJ42" s="232"/>
      <c r="HK42" s="232"/>
      <c r="HL42" s="232"/>
      <c r="HM42" s="232"/>
      <c r="HN42" s="232"/>
      <c r="HO42" s="232"/>
      <c r="HP42" s="232"/>
      <c r="HQ42" s="232"/>
      <c r="HR42" s="232"/>
      <c r="HS42" s="232"/>
      <c r="HT42" s="232"/>
      <c r="HU42" s="232"/>
      <c r="HV42" s="232"/>
      <c r="HW42" s="232"/>
      <c r="HX42" s="232"/>
      <c r="HY42" s="232"/>
      <c r="HZ42" s="232"/>
      <c r="IA42" s="232"/>
      <c r="IB42" s="232"/>
      <c r="IC42" s="232"/>
      <c r="ID42" s="232"/>
      <c r="IE42" s="232"/>
      <c r="IF42" s="232"/>
      <c r="IG42" s="232"/>
      <c r="IH42" s="232"/>
      <c r="II42" s="232"/>
      <c r="IJ42" s="232"/>
      <c r="IK42" s="232"/>
      <c r="IL42" s="232"/>
      <c r="IM42" s="232"/>
      <c r="IN42" s="232"/>
      <c r="IO42" s="232"/>
      <c r="IP42" s="232"/>
      <c r="IQ42" s="232"/>
      <c r="IR42" s="232"/>
      <c r="IS42" s="232"/>
      <c r="IT42" s="232"/>
      <c r="IU42" s="232"/>
      <c r="IV42" s="232"/>
    </row>
    <row r="43" spans="1:256" ht="18.75" customHeight="1" x14ac:dyDescent="0.25">
      <c r="A43" s="240" t="s">
        <v>746</v>
      </c>
      <c r="B43" s="247" t="s">
        <v>469</v>
      </c>
      <c r="C43" s="252" t="s">
        <v>1143</v>
      </c>
      <c r="D43" s="236"/>
      <c r="E43" s="237">
        <f>+INDEX(Sheet1!A:D,MATCH(MapaIII!C43,Sheet1!A:A,0),2)</f>
        <v>5000000</v>
      </c>
      <c r="F43" s="237">
        <f t="shared" si="5"/>
        <v>5000000</v>
      </c>
      <c r="G43" s="243">
        <f t="shared" si="6"/>
        <v>1.0375225271819334E-2</v>
      </c>
      <c r="H43" s="99"/>
      <c r="I43" s="232"/>
      <c r="J43" s="232"/>
      <c r="K43" s="232"/>
      <c r="M43" s="232"/>
      <c r="N43" s="218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232"/>
      <c r="CQ43" s="232"/>
      <c r="CR43" s="232"/>
      <c r="CS43" s="232"/>
      <c r="CT43" s="232"/>
      <c r="CU43" s="232"/>
      <c r="CV43" s="232"/>
      <c r="CW43" s="232"/>
      <c r="CX43" s="232"/>
      <c r="CY43" s="232"/>
      <c r="CZ43" s="232"/>
      <c r="DA43" s="232"/>
      <c r="DB43" s="232"/>
      <c r="DC43" s="232"/>
      <c r="DD43" s="232"/>
      <c r="DE43" s="232"/>
      <c r="DF43" s="232"/>
      <c r="DG43" s="232"/>
      <c r="DH43" s="232"/>
      <c r="DI43" s="232"/>
      <c r="DJ43" s="232"/>
      <c r="DK43" s="232"/>
      <c r="DL43" s="232"/>
      <c r="DM43" s="232"/>
      <c r="DN43" s="232"/>
      <c r="DO43" s="232"/>
      <c r="DP43" s="232"/>
      <c r="DQ43" s="232"/>
      <c r="DR43" s="232"/>
      <c r="DS43" s="232"/>
      <c r="DT43" s="232"/>
      <c r="DU43" s="232"/>
      <c r="DV43" s="232"/>
      <c r="DW43" s="232"/>
      <c r="DX43" s="232"/>
      <c r="DY43" s="232"/>
      <c r="DZ43" s="232"/>
      <c r="EA43" s="232"/>
      <c r="EB43" s="232"/>
      <c r="EC43" s="232"/>
      <c r="ED43" s="232"/>
      <c r="EE43" s="232"/>
      <c r="EF43" s="232"/>
      <c r="EG43" s="232"/>
      <c r="EH43" s="232"/>
      <c r="EI43" s="232"/>
      <c r="EJ43" s="232"/>
      <c r="EK43" s="232"/>
      <c r="EL43" s="232"/>
      <c r="EM43" s="232"/>
      <c r="EN43" s="232"/>
      <c r="EO43" s="232"/>
      <c r="EP43" s="232"/>
      <c r="EQ43" s="232"/>
      <c r="ER43" s="232"/>
      <c r="ES43" s="232"/>
      <c r="ET43" s="232"/>
      <c r="EU43" s="232"/>
      <c r="EV43" s="232"/>
      <c r="EW43" s="232"/>
      <c r="EX43" s="232"/>
      <c r="EY43" s="232"/>
      <c r="EZ43" s="232"/>
      <c r="FA43" s="232"/>
      <c r="FB43" s="232"/>
      <c r="FC43" s="232"/>
      <c r="FD43" s="232"/>
      <c r="FE43" s="232"/>
      <c r="FF43" s="232"/>
      <c r="FG43" s="232"/>
      <c r="FH43" s="232"/>
      <c r="FI43" s="232"/>
      <c r="FJ43" s="232"/>
      <c r="FK43" s="232"/>
      <c r="FL43" s="232"/>
      <c r="FM43" s="232"/>
      <c r="FN43" s="232"/>
      <c r="FO43" s="232"/>
      <c r="FP43" s="232"/>
      <c r="FQ43" s="232"/>
      <c r="FR43" s="232"/>
      <c r="FS43" s="232"/>
      <c r="FT43" s="232"/>
      <c r="FU43" s="232"/>
      <c r="FV43" s="232"/>
      <c r="FW43" s="232"/>
      <c r="FX43" s="232"/>
      <c r="FY43" s="232"/>
      <c r="FZ43" s="232"/>
      <c r="GA43" s="232"/>
      <c r="GB43" s="232"/>
      <c r="GC43" s="232"/>
      <c r="GD43" s="232"/>
      <c r="GE43" s="232"/>
      <c r="GF43" s="232"/>
      <c r="GG43" s="232"/>
      <c r="GH43" s="232"/>
      <c r="GI43" s="232"/>
      <c r="GJ43" s="232"/>
      <c r="GK43" s="232"/>
      <c r="GL43" s="232"/>
      <c r="GM43" s="232"/>
      <c r="GN43" s="232"/>
      <c r="GO43" s="232"/>
      <c r="GP43" s="232"/>
      <c r="GQ43" s="232"/>
      <c r="GR43" s="232"/>
      <c r="GS43" s="232"/>
      <c r="GT43" s="232"/>
      <c r="GU43" s="232"/>
      <c r="GV43" s="232"/>
      <c r="GW43" s="232"/>
      <c r="GX43" s="232"/>
      <c r="GY43" s="232"/>
      <c r="GZ43" s="232"/>
      <c r="HA43" s="232"/>
      <c r="HB43" s="232"/>
      <c r="HC43" s="232"/>
      <c r="HD43" s="232"/>
      <c r="HE43" s="232"/>
      <c r="HF43" s="232"/>
      <c r="HG43" s="232"/>
      <c r="HH43" s="232"/>
      <c r="HI43" s="232"/>
      <c r="HJ43" s="232"/>
      <c r="HK43" s="232"/>
      <c r="HL43" s="232"/>
      <c r="HM43" s="232"/>
      <c r="HN43" s="232"/>
      <c r="HO43" s="232"/>
      <c r="HP43" s="232"/>
      <c r="HQ43" s="232"/>
      <c r="HR43" s="232"/>
      <c r="HS43" s="232"/>
      <c r="HT43" s="232"/>
      <c r="HU43" s="232"/>
      <c r="HV43" s="232"/>
      <c r="HW43" s="232"/>
      <c r="HX43" s="232"/>
      <c r="HY43" s="232"/>
      <c r="HZ43" s="232"/>
      <c r="IA43" s="232"/>
      <c r="IB43" s="232"/>
      <c r="IC43" s="232"/>
      <c r="ID43" s="232"/>
      <c r="IE43" s="232"/>
      <c r="IF43" s="232"/>
      <c r="IG43" s="232"/>
      <c r="IH43" s="232"/>
      <c r="II43" s="232"/>
      <c r="IJ43" s="232"/>
      <c r="IK43" s="232"/>
      <c r="IL43" s="232"/>
      <c r="IM43" s="232"/>
      <c r="IN43" s="232"/>
      <c r="IO43" s="232"/>
      <c r="IP43" s="232"/>
      <c r="IQ43" s="232"/>
      <c r="IR43" s="232"/>
      <c r="IS43" s="232"/>
      <c r="IT43" s="232"/>
      <c r="IU43" s="232"/>
      <c r="IV43" s="232"/>
    </row>
    <row r="44" spans="1:256" ht="18.75" customHeight="1" x14ac:dyDescent="0.25">
      <c r="A44" s="240" t="s">
        <v>746</v>
      </c>
      <c r="B44" s="247" t="s">
        <v>469</v>
      </c>
      <c r="C44" s="745" t="s">
        <v>1149</v>
      </c>
      <c r="D44" s="236"/>
      <c r="E44" s="237">
        <f>+INDEX(Sheet1!A:D,MATCH(MapaIII!C44,Sheet1!A:A,0),2)</f>
        <v>4000000</v>
      </c>
      <c r="F44" s="237">
        <f t="shared" si="5"/>
        <v>4000000</v>
      </c>
      <c r="G44" s="243">
        <f t="shared" si="6"/>
        <v>8.3001802174554676E-3</v>
      </c>
      <c r="H44" s="99"/>
      <c r="I44" s="232"/>
      <c r="J44" s="232"/>
      <c r="K44" s="232"/>
      <c r="M44" s="232"/>
      <c r="N44" s="218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32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2"/>
      <c r="ER44" s="232"/>
      <c r="ES44" s="232"/>
      <c r="ET44" s="232"/>
      <c r="EU44" s="232"/>
      <c r="EV44" s="232"/>
      <c r="EW44" s="232"/>
      <c r="EX44" s="232"/>
      <c r="EY44" s="232"/>
      <c r="EZ44" s="232"/>
      <c r="FA44" s="232"/>
      <c r="FB44" s="232"/>
      <c r="FC44" s="232"/>
      <c r="FD44" s="232"/>
      <c r="FE44" s="232"/>
      <c r="FF44" s="232"/>
      <c r="FG44" s="232"/>
      <c r="FH44" s="232"/>
      <c r="FI44" s="232"/>
      <c r="FJ44" s="232"/>
      <c r="FK44" s="232"/>
      <c r="FL44" s="232"/>
      <c r="FM44" s="232"/>
      <c r="FN44" s="232"/>
      <c r="FO44" s="232"/>
      <c r="FP44" s="232"/>
      <c r="FQ44" s="232"/>
      <c r="FR44" s="232"/>
      <c r="FS44" s="232"/>
      <c r="FT44" s="232"/>
      <c r="FU44" s="232"/>
      <c r="FV44" s="232"/>
      <c r="FW44" s="232"/>
      <c r="FX44" s="232"/>
      <c r="FY44" s="232"/>
      <c r="FZ44" s="232"/>
      <c r="GA44" s="232"/>
      <c r="GB44" s="232"/>
      <c r="GC44" s="232"/>
      <c r="GD44" s="232"/>
      <c r="GE44" s="232"/>
      <c r="GF44" s="232"/>
      <c r="GG44" s="232"/>
      <c r="GH44" s="232"/>
      <c r="GI44" s="232"/>
      <c r="GJ44" s="232"/>
      <c r="GK44" s="232"/>
      <c r="GL44" s="232"/>
      <c r="GM44" s="232"/>
      <c r="GN44" s="232"/>
      <c r="GO44" s="232"/>
      <c r="GP44" s="232"/>
      <c r="GQ44" s="232"/>
      <c r="GR44" s="232"/>
      <c r="GS44" s="232"/>
      <c r="GT44" s="232"/>
      <c r="GU44" s="232"/>
      <c r="GV44" s="232"/>
      <c r="GW44" s="232"/>
      <c r="GX44" s="232"/>
      <c r="GY44" s="232"/>
      <c r="GZ44" s="232"/>
      <c r="HA44" s="232"/>
      <c r="HB44" s="232"/>
      <c r="HC44" s="232"/>
      <c r="HD44" s="232"/>
      <c r="HE44" s="232"/>
      <c r="HF44" s="232"/>
      <c r="HG44" s="232"/>
      <c r="HH44" s="232"/>
      <c r="HI44" s="232"/>
      <c r="HJ44" s="232"/>
      <c r="HK44" s="232"/>
      <c r="HL44" s="232"/>
      <c r="HM44" s="232"/>
      <c r="HN44" s="232"/>
      <c r="HO44" s="232"/>
      <c r="HP44" s="232"/>
      <c r="HQ44" s="232"/>
      <c r="HR44" s="232"/>
      <c r="HS44" s="232"/>
      <c r="HT44" s="232"/>
      <c r="HU44" s="232"/>
      <c r="HV44" s="232"/>
      <c r="HW44" s="232"/>
      <c r="HX44" s="232"/>
      <c r="HY44" s="232"/>
      <c r="HZ44" s="232"/>
      <c r="IA44" s="232"/>
      <c r="IB44" s="232"/>
      <c r="IC44" s="232"/>
      <c r="ID44" s="232"/>
      <c r="IE44" s="232"/>
      <c r="IF44" s="232"/>
      <c r="IG44" s="232"/>
      <c r="IH44" s="232"/>
      <c r="II44" s="232"/>
      <c r="IJ44" s="232"/>
      <c r="IK44" s="232"/>
      <c r="IL44" s="232"/>
      <c r="IM44" s="232"/>
      <c r="IN44" s="232"/>
      <c r="IO44" s="232"/>
      <c r="IP44" s="232"/>
      <c r="IQ44" s="232"/>
      <c r="IR44" s="232"/>
      <c r="IS44" s="232"/>
      <c r="IT44" s="232"/>
      <c r="IU44" s="232"/>
      <c r="IV44" s="232"/>
    </row>
    <row r="45" spans="1:256" ht="18.75" customHeight="1" x14ac:dyDescent="0.25">
      <c r="A45" s="240" t="s">
        <v>746</v>
      </c>
      <c r="B45" s="247" t="s">
        <v>469</v>
      </c>
      <c r="C45" s="252" t="s">
        <v>917</v>
      </c>
      <c r="D45" s="236"/>
      <c r="E45" s="237">
        <f>+INDEX(Sheet1!A:D,MATCH(MapaIII!C45,Sheet1!A:A,0),2)</f>
        <v>65000000</v>
      </c>
      <c r="F45" s="237">
        <f t="shared" si="5"/>
        <v>65000000</v>
      </c>
      <c r="G45" s="243">
        <f t="shared" si="6"/>
        <v>0.13487792853365133</v>
      </c>
      <c r="H45" s="99"/>
      <c r="I45" s="232"/>
      <c r="J45" s="232"/>
      <c r="K45" s="232"/>
      <c r="M45" s="232"/>
      <c r="N45" s="218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W45" s="232"/>
      <c r="CX45" s="232"/>
      <c r="CY45" s="232"/>
      <c r="CZ45" s="232"/>
      <c r="DA45" s="232"/>
      <c r="DB45" s="232"/>
      <c r="DC45" s="232"/>
      <c r="DD45" s="232"/>
      <c r="DE45" s="232"/>
      <c r="DF45" s="232"/>
      <c r="DG45" s="232"/>
      <c r="DH45" s="232"/>
      <c r="DI45" s="232"/>
      <c r="DJ45" s="232"/>
      <c r="DK45" s="232"/>
      <c r="DL45" s="232"/>
      <c r="DM45" s="232"/>
      <c r="DN45" s="232"/>
      <c r="DO45" s="232"/>
      <c r="DP45" s="232"/>
      <c r="DQ45" s="23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32"/>
      <c r="EH45" s="232"/>
      <c r="EI45" s="232"/>
      <c r="EJ45" s="232"/>
      <c r="EK45" s="232"/>
      <c r="EL45" s="232"/>
      <c r="EM45" s="232"/>
      <c r="EN45" s="232"/>
      <c r="EO45" s="232"/>
      <c r="EP45" s="232"/>
      <c r="EQ45" s="232"/>
      <c r="ER45" s="232"/>
      <c r="ES45" s="232"/>
      <c r="ET45" s="232"/>
      <c r="EU45" s="232"/>
      <c r="EV45" s="232"/>
      <c r="EW45" s="232"/>
      <c r="EX45" s="232"/>
      <c r="EY45" s="232"/>
      <c r="EZ45" s="232"/>
      <c r="FA45" s="232"/>
      <c r="FB45" s="232"/>
      <c r="FC45" s="232"/>
      <c r="FD45" s="232"/>
      <c r="FE45" s="232"/>
      <c r="FF45" s="232"/>
      <c r="FG45" s="232"/>
      <c r="FH45" s="232"/>
      <c r="FI45" s="232"/>
      <c r="FJ45" s="232"/>
      <c r="FK45" s="232"/>
      <c r="FL45" s="232"/>
      <c r="FM45" s="232"/>
      <c r="FN45" s="232"/>
      <c r="FO45" s="232"/>
      <c r="FP45" s="232"/>
      <c r="FQ45" s="232"/>
      <c r="FR45" s="232"/>
      <c r="FS45" s="232"/>
      <c r="FT45" s="232"/>
      <c r="FU45" s="232"/>
      <c r="FV45" s="232"/>
      <c r="FW45" s="232"/>
      <c r="FX45" s="232"/>
      <c r="FY45" s="232"/>
      <c r="FZ45" s="232"/>
      <c r="GA45" s="232"/>
      <c r="GB45" s="232"/>
      <c r="GC45" s="232"/>
      <c r="GD45" s="232"/>
      <c r="GE45" s="232"/>
      <c r="GF45" s="232"/>
      <c r="GG45" s="232"/>
      <c r="GH45" s="232"/>
      <c r="GI45" s="232"/>
      <c r="GJ45" s="232"/>
      <c r="GK45" s="232"/>
      <c r="GL45" s="232"/>
      <c r="GM45" s="232"/>
      <c r="GN45" s="232"/>
      <c r="GO45" s="232"/>
      <c r="GP45" s="232"/>
      <c r="GQ45" s="232"/>
      <c r="GR45" s="232"/>
      <c r="GS45" s="232"/>
      <c r="GT45" s="232"/>
      <c r="GU45" s="232"/>
      <c r="GV45" s="232"/>
      <c r="GW45" s="232"/>
      <c r="GX45" s="232"/>
      <c r="GY45" s="232"/>
      <c r="GZ45" s="232"/>
      <c r="HA45" s="232"/>
      <c r="HB45" s="232"/>
      <c r="HC45" s="232"/>
      <c r="HD45" s="232"/>
      <c r="HE45" s="232"/>
      <c r="HF45" s="232"/>
      <c r="HG45" s="232"/>
      <c r="HH45" s="232"/>
      <c r="HI45" s="232"/>
      <c r="HJ45" s="232"/>
      <c r="HK45" s="232"/>
      <c r="HL45" s="232"/>
      <c r="HM45" s="232"/>
      <c r="HN45" s="232"/>
      <c r="HO45" s="232"/>
      <c r="HP45" s="232"/>
      <c r="HQ45" s="232"/>
      <c r="HR45" s="232"/>
      <c r="HS45" s="232"/>
      <c r="HT45" s="232"/>
      <c r="HU45" s="232"/>
      <c r="HV45" s="232"/>
      <c r="HW45" s="232"/>
      <c r="HX45" s="232"/>
      <c r="HY45" s="232"/>
      <c r="HZ45" s="232"/>
      <c r="IA45" s="232"/>
      <c r="IB45" s="232"/>
      <c r="IC45" s="232"/>
      <c r="ID45" s="232"/>
      <c r="IE45" s="232"/>
      <c r="IF45" s="232"/>
      <c r="IG45" s="232"/>
      <c r="IH45" s="232"/>
      <c r="II45" s="232"/>
      <c r="IJ45" s="232"/>
      <c r="IK45" s="232"/>
      <c r="IL45" s="232"/>
      <c r="IM45" s="232"/>
      <c r="IN45" s="232"/>
      <c r="IO45" s="232"/>
      <c r="IP45" s="232"/>
      <c r="IQ45" s="232"/>
      <c r="IR45" s="232"/>
      <c r="IS45" s="232"/>
      <c r="IT45" s="232"/>
      <c r="IU45" s="232"/>
      <c r="IV45" s="232"/>
    </row>
    <row r="46" spans="1:256" ht="18.75" customHeight="1" x14ac:dyDescent="0.25">
      <c r="A46" s="240" t="s">
        <v>746</v>
      </c>
      <c r="B46" s="247" t="s">
        <v>469</v>
      </c>
      <c r="C46" s="252" t="s">
        <v>1127</v>
      </c>
      <c r="D46" s="236"/>
      <c r="E46" s="237">
        <f>+INDEX(Sheet1!A:D,MATCH(MapaIII!C46,Sheet1!A:A,0),2)</f>
        <v>4000000</v>
      </c>
      <c r="F46" s="237">
        <f t="shared" si="5"/>
        <v>4000000</v>
      </c>
      <c r="G46" s="243">
        <f t="shared" si="6"/>
        <v>8.3001802174554676E-3</v>
      </c>
      <c r="H46" s="99"/>
      <c r="I46" s="232"/>
      <c r="J46" s="232"/>
      <c r="K46" s="232"/>
      <c r="M46" s="232"/>
      <c r="N46" s="218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32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2"/>
      <c r="FE46" s="232"/>
      <c r="FF46" s="232"/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2"/>
      <c r="FY46" s="232"/>
      <c r="FZ46" s="232"/>
      <c r="GA46" s="232"/>
      <c r="GB46" s="232"/>
      <c r="GC46" s="232"/>
      <c r="GD46" s="232"/>
      <c r="GE46" s="232"/>
      <c r="GF46" s="232"/>
      <c r="GG46" s="232"/>
      <c r="GH46" s="232"/>
      <c r="GI46" s="232"/>
      <c r="GJ46" s="232"/>
      <c r="GK46" s="232"/>
      <c r="GL46" s="232"/>
      <c r="GM46" s="232"/>
      <c r="GN46" s="232"/>
      <c r="GO46" s="232"/>
      <c r="GP46" s="232"/>
      <c r="GQ46" s="232"/>
      <c r="GR46" s="232"/>
      <c r="GS46" s="232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E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2"/>
      <c r="HQ46" s="232"/>
      <c r="HR46" s="232"/>
      <c r="HS46" s="232"/>
      <c r="HT46" s="232"/>
      <c r="HU46" s="232"/>
      <c r="HV46" s="232"/>
      <c r="HW46" s="232"/>
      <c r="HX46" s="232"/>
      <c r="HY46" s="232"/>
      <c r="HZ46" s="232"/>
      <c r="IA46" s="232"/>
      <c r="IB46" s="232"/>
      <c r="IC46" s="232"/>
      <c r="ID46" s="232"/>
      <c r="IE46" s="232"/>
      <c r="IF46" s="232"/>
      <c r="IG46" s="232"/>
      <c r="IH46" s="232"/>
      <c r="II46" s="232"/>
      <c r="IJ46" s="232"/>
      <c r="IK46" s="232"/>
      <c r="IL46" s="232"/>
      <c r="IM46" s="232"/>
      <c r="IN46" s="232"/>
      <c r="IO46" s="232"/>
      <c r="IP46" s="232"/>
      <c r="IQ46" s="232"/>
      <c r="IR46" s="232"/>
      <c r="IS46" s="232"/>
      <c r="IT46" s="232"/>
      <c r="IU46" s="232"/>
      <c r="IV46" s="232"/>
    </row>
    <row r="47" spans="1:256" ht="18.75" customHeight="1" x14ac:dyDescent="0.25">
      <c r="A47" s="240" t="s">
        <v>746</v>
      </c>
      <c r="B47" s="247" t="s">
        <v>469</v>
      </c>
      <c r="C47" s="252" t="s">
        <v>1144</v>
      </c>
      <c r="D47" s="236"/>
      <c r="E47" s="237">
        <f>+INDEX(Sheet1!A:D,MATCH(MapaIII!C47,Sheet1!A:A,0),2)</f>
        <v>5000000</v>
      </c>
      <c r="F47" s="237">
        <f t="shared" si="5"/>
        <v>5000000</v>
      </c>
      <c r="G47" s="243">
        <f t="shared" si="6"/>
        <v>1.0375225271819334E-2</v>
      </c>
      <c r="H47" s="99"/>
      <c r="I47" s="232"/>
      <c r="J47" s="232"/>
      <c r="K47" s="232"/>
      <c r="M47" s="232"/>
      <c r="N47" s="218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232"/>
      <c r="DE47" s="232"/>
      <c r="DF47" s="232"/>
      <c r="DG47" s="232"/>
      <c r="DH47" s="232"/>
      <c r="DI47" s="232"/>
      <c r="DJ47" s="232"/>
      <c r="DK47" s="232"/>
      <c r="DL47" s="232"/>
      <c r="DM47" s="232"/>
      <c r="DN47" s="232"/>
      <c r="DO47" s="232"/>
      <c r="DP47" s="232"/>
      <c r="DQ47" s="232"/>
      <c r="DR47" s="232"/>
      <c r="DS47" s="232"/>
      <c r="DT47" s="232"/>
      <c r="DU47" s="232"/>
      <c r="DV47" s="232"/>
      <c r="DW47" s="232"/>
      <c r="DX47" s="232"/>
      <c r="DY47" s="232"/>
      <c r="DZ47" s="232"/>
      <c r="EA47" s="232"/>
      <c r="EB47" s="232"/>
      <c r="EC47" s="232"/>
      <c r="ED47" s="232"/>
      <c r="EE47" s="232"/>
      <c r="EF47" s="232"/>
      <c r="EG47" s="232"/>
      <c r="EH47" s="232"/>
      <c r="EI47" s="232"/>
      <c r="EJ47" s="232"/>
      <c r="EK47" s="232"/>
      <c r="EL47" s="232"/>
      <c r="EM47" s="232"/>
      <c r="EN47" s="232"/>
      <c r="EO47" s="232"/>
      <c r="EP47" s="232"/>
      <c r="EQ47" s="232"/>
      <c r="ER47" s="232"/>
      <c r="ES47" s="232"/>
      <c r="ET47" s="232"/>
      <c r="EU47" s="232"/>
      <c r="EV47" s="232"/>
      <c r="EW47" s="232"/>
      <c r="EX47" s="232"/>
      <c r="EY47" s="232"/>
      <c r="EZ47" s="232"/>
      <c r="FA47" s="232"/>
      <c r="FB47" s="232"/>
      <c r="FC47" s="232"/>
      <c r="FD47" s="232"/>
      <c r="FE47" s="232"/>
      <c r="FF47" s="232"/>
      <c r="FG47" s="232"/>
      <c r="FH47" s="232"/>
      <c r="FI47" s="232"/>
      <c r="FJ47" s="232"/>
      <c r="FK47" s="232"/>
      <c r="FL47" s="232"/>
      <c r="FM47" s="232"/>
      <c r="FN47" s="232"/>
      <c r="FO47" s="232"/>
      <c r="FP47" s="232"/>
      <c r="FQ47" s="232"/>
      <c r="FR47" s="232"/>
      <c r="FS47" s="232"/>
      <c r="FT47" s="232"/>
      <c r="FU47" s="232"/>
      <c r="FV47" s="232"/>
      <c r="FW47" s="232"/>
      <c r="FX47" s="232"/>
      <c r="FY47" s="232"/>
      <c r="FZ47" s="232"/>
      <c r="GA47" s="232"/>
      <c r="GB47" s="232"/>
      <c r="GC47" s="232"/>
      <c r="GD47" s="232"/>
      <c r="GE47" s="232"/>
      <c r="GF47" s="232"/>
      <c r="GG47" s="232"/>
      <c r="GH47" s="232"/>
      <c r="GI47" s="232"/>
      <c r="GJ47" s="232"/>
      <c r="GK47" s="232"/>
      <c r="GL47" s="232"/>
      <c r="GM47" s="232"/>
      <c r="GN47" s="232"/>
      <c r="GO47" s="232"/>
      <c r="GP47" s="232"/>
      <c r="GQ47" s="232"/>
      <c r="GR47" s="232"/>
      <c r="GS47" s="232"/>
      <c r="GT47" s="232"/>
      <c r="GU47" s="232"/>
      <c r="GV47" s="232"/>
      <c r="GW47" s="232"/>
      <c r="GX47" s="232"/>
      <c r="GY47" s="232"/>
      <c r="GZ47" s="232"/>
      <c r="HA47" s="232"/>
      <c r="HB47" s="232"/>
      <c r="HC47" s="232"/>
      <c r="HD47" s="232"/>
      <c r="HE47" s="232"/>
      <c r="HF47" s="232"/>
      <c r="HG47" s="232"/>
      <c r="HH47" s="232"/>
      <c r="HI47" s="232"/>
      <c r="HJ47" s="232"/>
      <c r="HK47" s="232"/>
      <c r="HL47" s="232"/>
      <c r="HM47" s="232"/>
      <c r="HN47" s="232"/>
      <c r="HO47" s="232"/>
      <c r="HP47" s="232"/>
      <c r="HQ47" s="232"/>
      <c r="HR47" s="232"/>
      <c r="HS47" s="232"/>
      <c r="HT47" s="232"/>
      <c r="HU47" s="232"/>
      <c r="HV47" s="232"/>
      <c r="HW47" s="232"/>
      <c r="HX47" s="232"/>
      <c r="HY47" s="232"/>
      <c r="HZ47" s="232"/>
      <c r="IA47" s="232"/>
      <c r="IB47" s="232"/>
      <c r="IC47" s="232"/>
      <c r="ID47" s="232"/>
      <c r="IE47" s="232"/>
      <c r="IF47" s="232"/>
      <c r="IG47" s="232"/>
      <c r="IH47" s="232"/>
      <c r="II47" s="232"/>
      <c r="IJ47" s="232"/>
      <c r="IK47" s="232"/>
      <c r="IL47" s="232"/>
      <c r="IM47" s="232"/>
      <c r="IN47" s="232"/>
      <c r="IO47" s="232"/>
      <c r="IP47" s="232"/>
      <c r="IQ47" s="232"/>
      <c r="IR47" s="232"/>
      <c r="IS47" s="232"/>
      <c r="IT47" s="232"/>
      <c r="IU47" s="232"/>
      <c r="IV47" s="232"/>
    </row>
    <row r="48" spans="1:256" x14ac:dyDescent="0.25">
      <c r="A48" s="253" t="s">
        <v>746</v>
      </c>
      <c r="B48" s="254" t="s">
        <v>469</v>
      </c>
      <c r="C48" s="252" t="s">
        <v>1131</v>
      </c>
      <c r="D48" s="246">
        <v>0</v>
      </c>
      <c r="E48" s="237">
        <f>+INDEX(Sheet1!A:D,MATCH(MapaIII!C48,Sheet1!A:A,0),2)</f>
        <v>2100000</v>
      </c>
      <c r="F48" s="255">
        <f t="shared" ref="F48:F60" si="7">D48+E48</f>
        <v>2100000</v>
      </c>
      <c r="G48" s="256">
        <f t="shared" si="0"/>
        <v>4.35759461416412E-3</v>
      </c>
      <c r="H48" s="99">
        <v>1100000</v>
      </c>
      <c r="I48" s="232"/>
      <c r="J48" s="232"/>
      <c r="K48" s="239"/>
      <c r="L48" s="203">
        <v>42</v>
      </c>
      <c r="M48" s="239"/>
      <c r="N48" s="218">
        <f t="shared" si="3"/>
        <v>-1000000</v>
      </c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239"/>
      <c r="DO48" s="239"/>
      <c r="DP48" s="239"/>
      <c r="DQ48" s="239"/>
      <c r="DR48" s="239"/>
      <c r="DS48" s="239"/>
      <c r="DT48" s="239"/>
      <c r="DU48" s="239"/>
      <c r="DV48" s="239"/>
      <c r="DW48" s="239"/>
      <c r="DX48" s="239"/>
      <c r="DY48" s="239"/>
      <c r="DZ48" s="239"/>
      <c r="EA48" s="239"/>
      <c r="EB48" s="239"/>
      <c r="EC48" s="239"/>
      <c r="ED48" s="239"/>
      <c r="EE48" s="239"/>
      <c r="EF48" s="239"/>
      <c r="EG48" s="239"/>
      <c r="EH48" s="239"/>
      <c r="EI48" s="239"/>
      <c r="EJ48" s="239"/>
      <c r="EK48" s="239"/>
      <c r="EL48" s="239"/>
      <c r="EM48" s="239"/>
      <c r="EN48" s="239"/>
      <c r="EO48" s="239"/>
      <c r="EP48" s="239"/>
      <c r="EQ48" s="239"/>
      <c r="ER48" s="239"/>
      <c r="ES48" s="239"/>
      <c r="ET48" s="239"/>
      <c r="EU48" s="239"/>
      <c r="EV48" s="239"/>
      <c r="EW48" s="239"/>
      <c r="EX48" s="239"/>
      <c r="EY48" s="239"/>
      <c r="EZ48" s="239"/>
      <c r="FA48" s="239"/>
      <c r="FB48" s="239"/>
      <c r="FC48" s="239"/>
      <c r="FD48" s="239"/>
      <c r="FE48" s="239"/>
      <c r="FF48" s="239"/>
      <c r="FG48" s="239"/>
      <c r="FH48" s="239"/>
      <c r="FI48" s="239"/>
      <c r="FJ48" s="239"/>
      <c r="FK48" s="239"/>
      <c r="FL48" s="239"/>
      <c r="FM48" s="239"/>
      <c r="FN48" s="239"/>
      <c r="FO48" s="239"/>
      <c r="FP48" s="239"/>
      <c r="FQ48" s="239"/>
      <c r="FR48" s="239"/>
      <c r="FS48" s="239"/>
      <c r="FT48" s="239"/>
      <c r="FU48" s="239"/>
      <c r="FV48" s="239"/>
      <c r="FW48" s="239"/>
      <c r="FX48" s="239"/>
      <c r="FY48" s="239"/>
      <c r="FZ48" s="239"/>
      <c r="GA48" s="239"/>
      <c r="GB48" s="239"/>
      <c r="GC48" s="239"/>
      <c r="GD48" s="239"/>
      <c r="GE48" s="239"/>
      <c r="GF48" s="239"/>
      <c r="GG48" s="239"/>
      <c r="GH48" s="239"/>
      <c r="GI48" s="239"/>
      <c r="GJ48" s="239"/>
      <c r="GK48" s="239"/>
      <c r="GL48" s="239"/>
      <c r="GM48" s="239"/>
      <c r="GN48" s="239"/>
      <c r="GO48" s="239"/>
      <c r="GP48" s="239"/>
      <c r="GQ48" s="239"/>
      <c r="GR48" s="239"/>
      <c r="GS48" s="239"/>
      <c r="GT48" s="239"/>
      <c r="GU48" s="239"/>
      <c r="GV48" s="239"/>
      <c r="GW48" s="239"/>
      <c r="GX48" s="239"/>
      <c r="GY48" s="239"/>
      <c r="GZ48" s="239"/>
      <c r="HA48" s="239"/>
      <c r="HB48" s="239"/>
      <c r="HC48" s="239"/>
      <c r="HD48" s="239"/>
      <c r="HE48" s="239"/>
      <c r="HF48" s="239"/>
      <c r="HG48" s="239"/>
      <c r="HH48" s="239"/>
      <c r="HI48" s="239"/>
      <c r="HJ48" s="239"/>
      <c r="HK48" s="239"/>
      <c r="HL48" s="239"/>
      <c r="HM48" s="239"/>
      <c r="HN48" s="239"/>
      <c r="HO48" s="239"/>
      <c r="HP48" s="239"/>
      <c r="HQ48" s="239"/>
      <c r="HR48" s="239"/>
      <c r="HS48" s="239"/>
      <c r="HT48" s="239"/>
      <c r="HU48" s="239"/>
      <c r="HV48" s="239"/>
      <c r="HW48" s="239"/>
      <c r="HX48" s="239"/>
      <c r="HY48" s="239"/>
      <c r="HZ48" s="239"/>
      <c r="IA48" s="239"/>
      <c r="IB48" s="239"/>
      <c r="IC48" s="239"/>
      <c r="ID48" s="239"/>
      <c r="IE48" s="239"/>
      <c r="IF48" s="239"/>
      <c r="IG48" s="239"/>
      <c r="IH48" s="239"/>
      <c r="II48" s="239"/>
      <c r="IJ48" s="239"/>
      <c r="IK48" s="239"/>
      <c r="IL48" s="239"/>
      <c r="IM48" s="239"/>
      <c r="IN48" s="239"/>
      <c r="IO48" s="239"/>
      <c r="IP48" s="239"/>
      <c r="IQ48" s="239"/>
      <c r="IR48" s="239"/>
      <c r="IS48" s="239"/>
      <c r="IT48" s="239"/>
      <c r="IU48" s="239"/>
      <c r="IV48" s="239"/>
    </row>
    <row r="49" spans="1:256" x14ac:dyDescent="0.25">
      <c r="A49" s="253" t="s">
        <v>746</v>
      </c>
      <c r="B49" s="254" t="s">
        <v>469</v>
      </c>
      <c r="C49" s="252" t="s">
        <v>750</v>
      </c>
      <c r="D49" s="246">
        <v>0</v>
      </c>
      <c r="E49" s="237">
        <f>+INDEX(Sheet1!A:D,MATCH(MapaIII!C49,Sheet1!A:A,0),2)</f>
        <v>2000000</v>
      </c>
      <c r="F49" s="255">
        <f t="shared" si="7"/>
        <v>2000000</v>
      </c>
      <c r="G49" s="256">
        <f t="shared" si="0"/>
        <v>4.1500901087277338E-3</v>
      </c>
      <c r="H49" s="99">
        <v>1500000</v>
      </c>
      <c r="I49" s="239"/>
      <c r="J49" s="239"/>
      <c r="K49" s="239"/>
      <c r="L49" s="203">
        <v>39</v>
      </c>
      <c r="M49" s="239"/>
      <c r="N49" s="218">
        <f t="shared" si="3"/>
        <v>-500000</v>
      </c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39"/>
      <c r="DO49" s="239"/>
      <c r="DP49" s="239"/>
      <c r="DQ49" s="239"/>
      <c r="DR49" s="239"/>
      <c r="DS49" s="239"/>
      <c r="DT49" s="239"/>
      <c r="DU49" s="239"/>
      <c r="DV49" s="239"/>
      <c r="DW49" s="239"/>
      <c r="DX49" s="239"/>
      <c r="DY49" s="239"/>
      <c r="DZ49" s="239"/>
      <c r="EA49" s="239"/>
      <c r="EB49" s="239"/>
      <c r="EC49" s="239"/>
      <c r="ED49" s="239"/>
      <c r="EE49" s="239"/>
      <c r="EF49" s="239"/>
      <c r="EG49" s="239"/>
      <c r="EH49" s="239"/>
      <c r="EI49" s="239"/>
      <c r="EJ49" s="239"/>
      <c r="EK49" s="239"/>
      <c r="EL49" s="239"/>
      <c r="EM49" s="239"/>
      <c r="EN49" s="239"/>
      <c r="EO49" s="239"/>
      <c r="EP49" s="239"/>
      <c r="EQ49" s="239"/>
      <c r="ER49" s="239"/>
      <c r="ES49" s="239"/>
      <c r="ET49" s="239"/>
      <c r="EU49" s="239"/>
      <c r="EV49" s="239"/>
      <c r="EW49" s="239"/>
      <c r="EX49" s="239"/>
      <c r="EY49" s="239"/>
      <c r="EZ49" s="239"/>
      <c r="FA49" s="239"/>
      <c r="FB49" s="239"/>
      <c r="FC49" s="239"/>
      <c r="FD49" s="239"/>
      <c r="FE49" s="239"/>
      <c r="FF49" s="239"/>
      <c r="FG49" s="239"/>
      <c r="FH49" s="239"/>
      <c r="FI49" s="239"/>
      <c r="FJ49" s="239"/>
      <c r="FK49" s="239"/>
      <c r="FL49" s="239"/>
      <c r="FM49" s="239"/>
      <c r="FN49" s="239"/>
      <c r="FO49" s="239"/>
      <c r="FP49" s="239"/>
      <c r="FQ49" s="239"/>
      <c r="FR49" s="239"/>
      <c r="FS49" s="239"/>
      <c r="FT49" s="239"/>
      <c r="FU49" s="239"/>
      <c r="FV49" s="239"/>
      <c r="FW49" s="239"/>
      <c r="FX49" s="239"/>
      <c r="FY49" s="239"/>
      <c r="FZ49" s="239"/>
      <c r="GA49" s="239"/>
      <c r="GB49" s="239"/>
      <c r="GC49" s="239"/>
      <c r="GD49" s="239"/>
      <c r="GE49" s="239"/>
      <c r="GF49" s="239"/>
      <c r="GG49" s="239"/>
      <c r="GH49" s="239"/>
      <c r="GI49" s="239"/>
      <c r="GJ49" s="239"/>
      <c r="GK49" s="239"/>
      <c r="GL49" s="239"/>
      <c r="GM49" s="239"/>
      <c r="GN49" s="239"/>
      <c r="GO49" s="239"/>
      <c r="GP49" s="239"/>
      <c r="GQ49" s="239"/>
      <c r="GR49" s="239"/>
      <c r="GS49" s="239"/>
      <c r="GT49" s="239"/>
      <c r="GU49" s="239"/>
      <c r="GV49" s="239"/>
      <c r="GW49" s="239"/>
      <c r="GX49" s="239"/>
      <c r="GY49" s="239"/>
      <c r="GZ49" s="239"/>
      <c r="HA49" s="239"/>
      <c r="HB49" s="239"/>
      <c r="HC49" s="239"/>
      <c r="HD49" s="239"/>
      <c r="HE49" s="239"/>
      <c r="HF49" s="239"/>
      <c r="HG49" s="239"/>
      <c r="HH49" s="239"/>
      <c r="HI49" s="239"/>
      <c r="HJ49" s="239"/>
      <c r="HK49" s="239"/>
      <c r="HL49" s="239"/>
      <c r="HM49" s="239"/>
      <c r="HN49" s="239"/>
      <c r="HO49" s="239"/>
      <c r="HP49" s="239"/>
      <c r="HQ49" s="239"/>
      <c r="HR49" s="239"/>
      <c r="HS49" s="239"/>
      <c r="HT49" s="239"/>
      <c r="HU49" s="239"/>
      <c r="HV49" s="239"/>
      <c r="HW49" s="239"/>
      <c r="HX49" s="239"/>
      <c r="HY49" s="239"/>
      <c r="HZ49" s="239"/>
      <c r="IA49" s="239"/>
      <c r="IB49" s="239"/>
      <c r="IC49" s="239"/>
      <c r="ID49" s="239"/>
      <c r="IE49" s="239"/>
      <c r="IF49" s="239"/>
      <c r="IG49" s="239"/>
      <c r="IH49" s="239"/>
      <c r="II49" s="239"/>
      <c r="IJ49" s="239"/>
      <c r="IK49" s="239"/>
      <c r="IL49" s="239"/>
      <c r="IM49" s="239"/>
      <c r="IN49" s="239"/>
      <c r="IO49" s="239"/>
      <c r="IP49" s="239"/>
      <c r="IQ49" s="239"/>
      <c r="IR49" s="239"/>
      <c r="IS49" s="239"/>
      <c r="IT49" s="239"/>
      <c r="IU49" s="239"/>
      <c r="IV49" s="239"/>
    </row>
    <row r="50" spans="1:256" ht="25.5" x14ac:dyDescent="0.25">
      <c r="A50" s="253" t="s">
        <v>746</v>
      </c>
      <c r="B50" s="254" t="s">
        <v>469</v>
      </c>
      <c r="C50" s="252" t="s">
        <v>1150</v>
      </c>
      <c r="D50" s="246">
        <v>0</v>
      </c>
      <c r="E50" s="237">
        <f>+INDEX(Sheet1!A:D,MATCH(MapaIII!C50,Sheet1!A:A,0),2)</f>
        <v>20000000</v>
      </c>
      <c r="F50" s="255">
        <f t="shared" ref="F50" si="8">D50+E50</f>
        <v>20000000</v>
      </c>
      <c r="G50" s="256">
        <f t="shared" ref="G50" si="9">F50/$F$9</f>
        <v>4.1500901087277338E-2</v>
      </c>
      <c r="H50" s="99"/>
      <c r="I50" s="239"/>
      <c r="J50" s="239"/>
      <c r="K50" s="239"/>
      <c r="M50" s="239"/>
      <c r="N50" s="218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39"/>
      <c r="DW50" s="239"/>
      <c r="DX50" s="239"/>
      <c r="DY50" s="239"/>
      <c r="DZ50" s="239"/>
      <c r="EA50" s="239"/>
      <c r="EB50" s="239"/>
      <c r="EC50" s="239"/>
      <c r="ED50" s="239"/>
      <c r="EE50" s="239"/>
      <c r="EF50" s="239"/>
      <c r="EG50" s="239"/>
      <c r="EH50" s="239"/>
      <c r="EI50" s="239"/>
      <c r="EJ50" s="239"/>
      <c r="EK50" s="239"/>
      <c r="EL50" s="239"/>
      <c r="EM50" s="239"/>
      <c r="EN50" s="239"/>
      <c r="EO50" s="239"/>
      <c r="EP50" s="239"/>
      <c r="EQ50" s="239"/>
      <c r="ER50" s="239"/>
      <c r="ES50" s="239"/>
      <c r="ET50" s="239"/>
      <c r="EU50" s="239"/>
      <c r="EV50" s="239"/>
      <c r="EW50" s="239"/>
      <c r="EX50" s="239"/>
      <c r="EY50" s="239"/>
      <c r="EZ50" s="239"/>
      <c r="FA50" s="239"/>
      <c r="FB50" s="239"/>
      <c r="FC50" s="239"/>
      <c r="FD50" s="239"/>
      <c r="FE50" s="239"/>
      <c r="FF50" s="239"/>
      <c r="FG50" s="239"/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39"/>
      <c r="FS50" s="239"/>
      <c r="FT50" s="239"/>
      <c r="FU50" s="239"/>
      <c r="FV50" s="239"/>
      <c r="FW50" s="239"/>
      <c r="FX50" s="239"/>
      <c r="FY50" s="239"/>
      <c r="FZ50" s="239"/>
      <c r="GA50" s="239"/>
      <c r="GB50" s="239"/>
      <c r="GC50" s="239"/>
      <c r="GD50" s="239"/>
      <c r="GE50" s="239"/>
      <c r="GF50" s="239"/>
      <c r="GG50" s="239"/>
      <c r="GH50" s="239"/>
      <c r="GI50" s="239"/>
      <c r="GJ50" s="239"/>
      <c r="GK50" s="239"/>
      <c r="GL50" s="239"/>
      <c r="GM50" s="239"/>
      <c r="GN50" s="239"/>
      <c r="GO50" s="239"/>
      <c r="GP50" s="239"/>
      <c r="GQ50" s="239"/>
      <c r="GR50" s="239"/>
      <c r="GS50" s="239"/>
      <c r="GT50" s="239"/>
      <c r="GU50" s="239"/>
      <c r="GV50" s="239"/>
      <c r="GW50" s="239"/>
      <c r="GX50" s="239"/>
      <c r="GY50" s="239"/>
      <c r="GZ50" s="239"/>
      <c r="HA50" s="239"/>
      <c r="HB50" s="239"/>
      <c r="HC50" s="239"/>
      <c r="HD50" s="239"/>
      <c r="HE50" s="239"/>
      <c r="HF50" s="239"/>
      <c r="HG50" s="239"/>
      <c r="HH50" s="239"/>
      <c r="HI50" s="239"/>
      <c r="HJ50" s="239"/>
      <c r="HK50" s="239"/>
      <c r="HL50" s="239"/>
      <c r="HM50" s="239"/>
      <c r="HN50" s="239"/>
      <c r="HO50" s="239"/>
      <c r="HP50" s="239"/>
      <c r="HQ50" s="239"/>
      <c r="HR50" s="239"/>
      <c r="HS50" s="239"/>
      <c r="HT50" s="239"/>
      <c r="HU50" s="239"/>
      <c r="HV50" s="239"/>
      <c r="HW50" s="239"/>
      <c r="HX50" s="239"/>
      <c r="HY50" s="239"/>
      <c r="HZ50" s="239"/>
      <c r="IA50" s="239"/>
      <c r="IB50" s="239"/>
      <c r="IC50" s="239"/>
      <c r="ID50" s="239"/>
      <c r="IE50" s="239"/>
      <c r="IF50" s="239"/>
      <c r="IG50" s="239"/>
      <c r="IH50" s="239"/>
      <c r="II50" s="239"/>
      <c r="IJ50" s="239"/>
      <c r="IK50" s="239"/>
      <c r="IL50" s="239"/>
      <c r="IM50" s="239"/>
      <c r="IN50" s="239"/>
      <c r="IO50" s="239"/>
      <c r="IP50" s="239"/>
      <c r="IQ50" s="239"/>
      <c r="IR50" s="239"/>
      <c r="IS50" s="239"/>
      <c r="IT50" s="239"/>
      <c r="IU50" s="239"/>
      <c r="IV50" s="239"/>
    </row>
    <row r="51" spans="1:256" x14ac:dyDescent="0.25">
      <c r="A51" s="253" t="s">
        <v>753</v>
      </c>
      <c r="B51" s="254" t="s">
        <v>469</v>
      </c>
      <c r="C51" s="252" t="s">
        <v>754</v>
      </c>
      <c r="D51" s="246">
        <v>0</v>
      </c>
      <c r="E51" s="237">
        <f>+INDEX(Sheet1!A:D,MATCH(MapaIII!C51,Sheet1!A:A,0),2)</f>
        <v>3000000</v>
      </c>
      <c r="F51" s="255">
        <f t="shared" si="7"/>
        <v>3000000</v>
      </c>
      <c r="G51" s="256">
        <f t="shared" si="0"/>
        <v>6.2251351630915998E-3</v>
      </c>
      <c r="H51" s="99">
        <v>3000000</v>
      </c>
      <c r="I51" s="239"/>
      <c r="J51" s="239"/>
      <c r="K51" s="239"/>
      <c r="L51" s="203">
        <v>38</v>
      </c>
      <c r="M51" s="239"/>
      <c r="N51" s="218">
        <f t="shared" si="3"/>
        <v>0</v>
      </c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  <c r="DT51" s="239"/>
      <c r="DU51" s="239"/>
      <c r="DV51" s="239"/>
      <c r="DW51" s="239"/>
      <c r="DX51" s="239"/>
      <c r="DY51" s="239"/>
      <c r="DZ51" s="239"/>
      <c r="EA51" s="239"/>
      <c r="EB51" s="239"/>
      <c r="EC51" s="239"/>
      <c r="ED51" s="239"/>
      <c r="EE51" s="239"/>
      <c r="EF51" s="239"/>
      <c r="EG51" s="239"/>
      <c r="EH51" s="239"/>
      <c r="EI51" s="239"/>
      <c r="EJ51" s="239"/>
      <c r="EK51" s="239"/>
      <c r="EL51" s="239"/>
      <c r="EM51" s="239"/>
      <c r="EN51" s="239"/>
      <c r="EO51" s="239"/>
      <c r="EP51" s="239"/>
      <c r="EQ51" s="239"/>
      <c r="ER51" s="239"/>
      <c r="ES51" s="239"/>
      <c r="ET51" s="239"/>
      <c r="EU51" s="239"/>
      <c r="EV51" s="239"/>
      <c r="EW51" s="239"/>
      <c r="EX51" s="239"/>
      <c r="EY51" s="239"/>
      <c r="EZ51" s="239"/>
      <c r="FA51" s="239"/>
      <c r="FB51" s="239"/>
      <c r="FC51" s="239"/>
      <c r="FD51" s="239"/>
      <c r="FE51" s="239"/>
      <c r="FF51" s="239"/>
      <c r="FG51" s="239"/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39"/>
      <c r="FS51" s="239"/>
      <c r="FT51" s="239"/>
      <c r="FU51" s="239"/>
      <c r="FV51" s="239"/>
      <c r="FW51" s="239"/>
      <c r="FX51" s="239"/>
      <c r="FY51" s="239"/>
      <c r="FZ51" s="239"/>
      <c r="GA51" s="239"/>
      <c r="GB51" s="239"/>
      <c r="GC51" s="239"/>
      <c r="GD51" s="239"/>
      <c r="GE51" s="239"/>
      <c r="GF51" s="239"/>
      <c r="GG51" s="239"/>
      <c r="GH51" s="239"/>
      <c r="GI51" s="239"/>
      <c r="GJ51" s="239"/>
      <c r="GK51" s="239"/>
      <c r="GL51" s="239"/>
      <c r="GM51" s="239"/>
      <c r="GN51" s="239"/>
      <c r="GO51" s="239"/>
      <c r="GP51" s="239"/>
      <c r="GQ51" s="239"/>
      <c r="GR51" s="239"/>
      <c r="GS51" s="239"/>
      <c r="GT51" s="239"/>
      <c r="GU51" s="239"/>
      <c r="GV51" s="239"/>
      <c r="GW51" s="239"/>
      <c r="GX51" s="239"/>
      <c r="GY51" s="239"/>
      <c r="GZ51" s="239"/>
      <c r="HA51" s="239"/>
      <c r="HB51" s="239"/>
      <c r="HC51" s="239"/>
      <c r="HD51" s="239"/>
      <c r="HE51" s="239"/>
      <c r="HF51" s="239"/>
      <c r="HG51" s="239"/>
      <c r="HH51" s="239"/>
      <c r="HI51" s="239"/>
      <c r="HJ51" s="239"/>
      <c r="HK51" s="239"/>
      <c r="HL51" s="239"/>
      <c r="HM51" s="239"/>
      <c r="HN51" s="239"/>
      <c r="HO51" s="239"/>
      <c r="HP51" s="239"/>
      <c r="HQ51" s="239"/>
      <c r="HR51" s="239"/>
      <c r="HS51" s="239"/>
      <c r="HT51" s="239"/>
      <c r="HU51" s="239"/>
      <c r="HV51" s="239"/>
      <c r="HW51" s="239"/>
      <c r="HX51" s="239"/>
      <c r="HY51" s="239"/>
      <c r="HZ51" s="239"/>
      <c r="IA51" s="239"/>
      <c r="IB51" s="239"/>
      <c r="IC51" s="239"/>
      <c r="ID51" s="239"/>
      <c r="IE51" s="239"/>
      <c r="IF51" s="239"/>
      <c r="IG51" s="239"/>
      <c r="IH51" s="239"/>
      <c r="II51" s="239"/>
      <c r="IJ51" s="239"/>
      <c r="IK51" s="239"/>
      <c r="IL51" s="239"/>
      <c r="IM51" s="239"/>
      <c r="IN51" s="239"/>
      <c r="IO51" s="239"/>
      <c r="IP51" s="239"/>
      <c r="IQ51" s="239"/>
      <c r="IR51" s="239"/>
      <c r="IS51" s="239"/>
      <c r="IT51" s="239"/>
      <c r="IU51" s="239"/>
      <c r="IV51" s="239"/>
    </row>
    <row r="52" spans="1:256" x14ac:dyDescent="0.25">
      <c r="A52" s="253" t="s">
        <v>753</v>
      </c>
      <c r="B52" s="254" t="s">
        <v>449</v>
      </c>
      <c r="C52" s="252" t="s">
        <v>756</v>
      </c>
      <c r="D52" s="246">
        <v>0</v>
      </c>
      <c r="E52" s="237">
        <f>+INDEX(Sheet1!A:D,MATCH(MapaIII!C52,Sheet1!A:A,0),2)</f>
        <v>200000</v>
      </c>
      <c r="F52" s="255">
        <f t="shared" si="7"/>
        <v>200000</v>
      </c>
      <c r="G52" s="256">
        <f t="shared" si="0"/>
        <v>4.1500901087277337E-4</v>
      </c>
      <c r="H52" s="99">
        <v>500000</v>
      </c>
      <c r="I52" s="239"/>
      <c r="J52" s="239"/>
      <c r="K52" s="239"/>
      <c r="L52" s="203">
        <v>34</v>
      </c>
      <c r="M52" s="239"/>
      <c r="N52" s="218">
        <f t="shared" si="3"/>
        <v>300000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  <c r="DT52" s="239"/>
      <c r="DU52" s="239"/>
      <c r="DV52" s="239"/>
      <c r="DW52" s="239"/>
      <c r="DX52" s="239"/>
      <c r="DY52" s="239"/>
      <c r="DZ52" s="239"/>
      <c r="EA52" s="239"/>
      <c r="EB52" s="239"/>
      <c r="EC52" s="239"/>
      <c r="ED52" s="239"/>
      <c r="EE52" s="239"/>
      <c r="EF52" s="239"/>
      <c r="EG52" s="239"/>
      <c r="EH52" s="239"/>
      <c r="EI52" s="239"/>
      <c r="EJ52" s="239"/>
      <c r="EK52" s="239"/>
      <c r="EL52" s="239"/>
      <c r="EM52" s="239"/>
      <c r="EN52" s="239"/>
      <c r="EO52" s="239"/>
      <c r="EP52" s="239"/>
      <c r="EQ52" s="239"/>
      <c r="ER52" s="239"/>
      <c r="ES52" s="239"/>
      <c r="ET52" s="239"/>
      <c r="EU52" s="239"/>
      <c r="EV52" s="239"/>
      <c r="EW52" s="239"/>
      <c r="EX52" s="239"/>
      <c r="EY52" s="239"/>
      <c r="EZ52" s="239"/>
      <c r="FA52" s="239"/>
      <c r="FB52" s="239"/>
      <c r="FC52" s="239"/>
      <c r="FD52" s="239"/>
      <c r="FE52" s="239"/>
      <c r="FF52" s="239"/>
      <c r="FG52" s="239"/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39"/>
      <c r="FS52" s="239"/>
      <c r="FT52" s="239"/>
      <c r="FU52" s="239"/>
      <c r="FV52" s="239"/>
      <c r="FW52" s="239"/>
      <c r="FX52" s="239"/>
      <c r="FY52" s="239"/>
      <c r="FZ52" s="239"/>
      <c r="GA52" s="239"/>
      <c r="GB52" s="239"/>
      <c r="GC52" s="239"/>
      <c r="GD52" s="239"/>
      <c r="GE52" s="239"/>
      <c r="GF52" s="239"/>
      <c r="GG52" s="239"/>
      <c r="GH52" s="239"/>
      <c r="GI52" s="239"/>
      <c r="GJ52" s="239"/>
      <c r="GK52" s="239"/>
      <c r="GL52" s="239"/>
      <c r="GM52" s="239"/>
      <c r="GN52" s="239"/>
      <c r="GO52" s="239"/>
      <c r="GP52" s="239"/>
      <c r="GQ52" s="239"/>
      <c r="GR52" s="239"/>
      <c r="GS52" s="239"/>
      <c r="GT52" s="239"/>
      <c r="GU52" s="239"/>
      <c r="GV52" s="239"/>
      <c r="GW52" s="239"/>
      <c r="GX52" s="239"/>
      <c r="GY52" s="239"/>
      <c r="GZ52" s="239"/>
      <c r="HA52" s="239"/>
      <c r="HB52" s="239"/>
      <c r="HC52" s="239"/>
      <c r="HD52" s="239"/>
      <c r="HE52" s="239"/>
      <c r="HF52" s="239"/>
      <c r="HG52" s="239"/>
      <c r="HH52" s="239"/>
      <c r="HI52" s="239"/>
      <c r="HJ52" s="239"/>
      <c r="HK52" s="239"/>
      <c r="HL52" s="239"/>
      <c r="HM52" s="239"/>
      <c r="HN52" s="239"/>
      <c r="HO52" s="239"/>
      <c r="HP52" s="239"/>
      <c r="HQ52" s="239"/>
      <c r="HR52" s="239"/>
      <c r="HS52" s="239"/>
      <c r="HT52" s="239"/>
      <c r="HU52" s="239"/>
      <c r="HV52" s="239"/>
      <c r="HW52" s="239"/>
      <c r="HX52" s="239"/>
      <c r="HY52" s="239"/>
      <c r="HZ52" s="239"/>
      <c r="IA52" s="239"/>
      <c r="IB52" s="239"/>
      <c r="IC52" s="239"/>
      <c r="ID52" s="239"/>
      <c r="IE52" s="239"/>
      <c r="IF52" s="239"/>
      <c r="IG52" s="239"/>
      <c r="IH52" s="239"/>
      <c r="II52" s="239"/>
      <c r="IJ52" s="239"/>
      <c r="IK52" s="239"/>
      <c r="IL52" s="239"/>
      <c r="IM52" s="239"/>
      <c r="IN52" s="239"/>
      <c r="IO52" s="239"/>
      <c r="IP52" s="239"/>
      <c r="IQ52" s="239"/>
      <c r="IR52" s="239"/>
      <c r="IS52" s="239"/>
      <c r="IT52" s="239"/>
      <c r="IU52" s="239"/>
      <c r="IV52" s="239"/>
    </row>
    <row r="53" spans="1:256" x14ac:dyDescent="0.25">
      <c r="A53" s="253" t="s">
        <v>757</v>
      </c>
      <c r="B53" s="254" t="s">
        <v>485</v>
      </c>
      <c r="C53" s="252" t="s">
        <v>758</v>
      </c>
      <c r="D53" s="246">
        <v>0</v>
      </c>
      <c r="E53" s="237">
        <f>+INDEX(Sheet1!A:D,MATCH(MapaIII!C53,Sheet1!A:A,0),2)</f>
        <v>2300000</v>
      </c>
      <c r="F53" s="255">
        <f t="shared" si="7"/>
        <v>2300000</v>
      </c>
      <c r="G53" s="256">
        <f t="shared" si="0"/>
        <v>4.7726036250368932E-3</v>
      </c>
      <c r="H53" s="99">
        <v>1000000</v>
      </c>
      <c r="I53" s="239"/>
      <c r="J53" s="239"/>
      <c r="K53" s="239"/>
      <c r="L53" s="203">
        <v>63</v>
      </c>
      <c r="M53" s="239"/>
      <c r="N53" s="218">
        <f t="shared" si="3"/>
        <v>-1300000</v>
      </c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39"/>
      <c r="DW53" s="239"/>
      <c r="DX53" s="239"/>
      <c r="DY53" s="239"/>
      <c r="DZ53" s="239"/>
      <c r="EA53" s="239"/>
      <c r="EB53" s="239"/>
      <c r="EC53" s="239"/>
      <c r="ED53" s="239"/>
      <c r="EE53" s="239"/>
      <c r="EF53" s="239"/>
      <c r="EG53" s="239"/>
      <c r="EH53" s="239"/>
      <c r="EI53" s="239"/>
      <c r="EJ53" s="239"/>
      <c r="EK53" s="239"/>
      <c r="EL53" s="239"/>
      <c r="EM53" s="239"/>
      <c r="EN53" s="239"/>
      <c r="EO53" s="239"/>
      <c r="EP53" s="239"/>
      <c r="EQ53" s="239"/>
      <c r="ER53" s="239"/>
      <c r="ES53" s="239"/>
      <c r="ET53" s="239"/>
      <c r="EU53" s="239"/>
      <c r="EV53" s="239"/>
      <c r="EW53" s="239"/>
      <c r="EX53" s="239"/>
      <c r="EY53" s="239"/>
      <c r="EZ53" s="239"/>
      <c r="FA53" s="239"/>
      <c r="FB53" s="239"/>
      <c r="FC53" s="239"/>
      <c r="FD53" s="239"/>
      <c r="FE53" s="239"/>
      <c r="FF53" s="239"/>
      <c r="FG53" s="239"/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39"/>
      <c r="FS53" s="239"/>
      <c r="FT53" s="239"/>
      <c r="FU53" s="239"/>
      <c r="FV53" s="239"/>
      <c r="FW53" s="239"/>
      <c r="FX53" s="239"/>
      <c r="FY53" s="239"/>
      <c r="FZ53" s="239"/>
      <c r="GA53" s="239"/>
      <c r="GB53" s="239"/>
      <c r="GC53" s="239"/>
      <c r="GD53" s="239"/>
      <c r="GE53" s="239"/>
      <c r="GF53" s="239"/>
      <c r="GG53" s="239"/>
      <c r="GH53" s="239"/>
      <c r="GI53" s="239"/>
      <c r="GJ53" s="239"/>
      <c r="GK53" s="239"/>
      <c r="GL53" s="239"/>
      <c r="GM53" s="239"/>
      <c r="GN53" s="239"/>
      <c r="GO53" s="239"/>
      <c r="GP53" s="239"/>
      <c r="GQ53" s="239"/>
      <c r="GR53" s="239"/>
      <c r="GS53" s="239"/>
      <c r="GT53" s="239"/>
      <c r="GU53" s="239"/>
      <c r="GV53" s="239"/>
      <c r="GW53" s="239"/>
      <c r="GX53" s="239"/>
      <c r="GY53" s="239"/>
      <c r="GZ53" s="239"/>
      <c r="HA53" s="239"/>
      <c r="HB53" s="239"/>
      <c r="HC53" s="239"/>
      <c r="HD53" s="239"/>
      <c r="HE53" s="239"/>
      <c r="HF53" s="239"/>
      <c r="HG53" s="239"/>
      <c r="HH53" s="239"/>
      <c r="HI53" s="239"/>
      <c r="HJ53" s="239"/>
      <c r="HK53" s="239"/>
      <c r="HL53" s="239"/>
      <c r="HM53" s="239"/>
      <c r="HN53" s="239"/>
      <c r="HO53" s="239"/>
      <c r="HP53" s="239"/>
      <c r="HQ53" s="239"/>
      <c r="HR53" s="239"/>
      <c r="HS53" s="239"/>
      <c r="HT53" s="239"/>
      <c r="HU53" s="239"/>
      <c r="HV53" s="239"/>
      <c r="HW53" s="239"/>
      <c r="HX53" s="239"/>
      <c r="HY53" s="239"/>
      <c r="HZ53" s="239"/>
      <c r="IA53" s="239"/>
      <c r="IB53" s="239"/>
      <c r="IC53" s="239"/>
      <c r="ID53" s="239"/>
      <c r="IE53" s="239"/>
      <c r="IF53" s="239"/>
      <c r="IG53" s="239"/>
      <c r="IH53" s="239"/>
      <c r="II53" s="239"/>
      <c r="IJ53" s="239"/>
      <c r="IK53" s="239"/>
      <c r="IL53" s="239"/>
      <c r="IM53" s="239"/>
      <c r="IN53" s="239"/>
      <c r="IO53" s="239"/>
      <c r="IP53" s="239"/>
      <c r="IQ53" s="239"/>
      <c r="IR53" s="239"/>
      <c r="IS53" s="239"/>
      <c r="IT53" s="239"/>
      <c r="IU53" s="239"/>
      <c r="IV53" s="239"/>
    </row>
    <row r="54" spans="1:256" x14ac:dyDescent="0.25">
      <c r="A54" s="253" t="s">
        <v>759</v>
      </c>
      <c r="B54" s="254" t="s">
        <v>469</v>
      </c>
      <c r="C54" s="252" t="s">
        <v>760</v>
      </c>
      <c r="D54" s="246">
        <v>0</v>
      </c>
      <c r="E54" s="237">
        <f>+INDEX(Sheet1!A:D,MATCH(MapaIII!C54,Sheet1!A:A,0),2)</f>
        <v>7000000</v>
      </c>
      <c r="F54" s="255">
        <f t="shared" si="7"/>
        <v>7000000</v>
      </c>
      <c r="G54" s="256">
        <f t="shared" si="0"/>
        <v>1.4525315380547067E-2</v>
      </c>
      <c r="H54" s="99">
        <v>20000000</v>
      </c>
      <c r="I54" s="239"/>
      <c r="J54" s="239"/>
      <c r="K54" s="239"/>
      <c r="L54" s="203">
        <v>33</v>
      </c>
      <c r="M54" s="239"/>
      <c r="N54" s="218">
        <f t="shared" si="3"/>
        <v>13000000</v>
      </c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39"/>
      <c r="DW54" s="239"/>
      <c r="DX54" s="239"/>
      <c r="DY54" s="239"/>
      <c r="DZ54" s="239"/>
      <c r="EA54" s="239"/>
      <c r="EB54" s="239"/>
      <c r="EC54" s="239"/>
      <c r="ED54" s="239"/>
      <c r="EE54" s="239"/>
      <c r="EF54" s="239"/>
      <c r="EG54" s="239"/>
      <c r="EH54" s="239"/>
      <c r="EI54" s="239"/>
      <c r="EJ54" s="239"/>
      <c r="EK54" s="239"/>
      <c r="EL54" s="239"/>
      <c r="EM54" s="239"/>
      <c r="EN54" s="239"/>
      <c r="EO54" s="239"/>
      <c r="EP54" s="239"/>
      <c r="EQ54" s="239"/>
      <c r="ER54" s="239"/>
      <c r="ES54" s="239"/>
      <c r="ET54" s="239"/>
      <c r="EU54" s="239"/>
      <c r="EV54" s="239"/>
      <c r="EW54" s="239"/>
      <c r="EX54" s="239"/>
      <c r="EY54" s="239"/>
      <c r="EZ54" s="239"/>
      <c r="FA54" s="239"/>
      <c r="FB54" s="239"/>
      <c r="FC54" s="239"/>
      <c r="FD54" s="239"/>
      <c r="FE54" s="239"/>
      <c r="FF54" s="239"/>
      <c r="FG54" s="239"/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39"/>
      <c r="FS54" s="239"/>
      <c r="FT54" s="239"/>
      <c r="FU54" s="239"/>
      <c r="FV54" s="239"/>
      <c r="FW54" s="239"/>
      <c r="FX54" s="239"/>
      <c r="FY54" s="239"/>
      <c r="FZ54" s="239"/>
      <c r="GA54" s="239"/>
      <c r="GB54" s="239"/>
      <c r="GC54" s="239"/>
      <c r="GD54" s="239"/>
      <c r="GE54" s="239"/>
      <c r="GF54" s="239"/>
      <c r="GG54" s="239"/>
      <c r="GH54" s="239"/>
      <c r="GI54" s="239"/>
      <c r="GJ54" s="239"/>
      <c r="GK54" s="239"/>
      <c r="GL54" s="239"/>
      <c r="GM54" s="239"/>
      <c r="GN54" s="239"/>
      <c r="GO54" s="239"/>
      <c r="GP54" s="239"/>
      <c r="GQ54" s="239"/>
      <c r="GR54" s="239"/>
      <c r="GS54" s="239"/>
      <c r="GT54" s="239"/>
      <c r="GU54" s="239"/>
      <c r="GV54" s="239"/>
      <c r="GW54" s="239"/>
      <c r="GX54" s="239"/>
      <c r="GY54" s="239"/>
      <c r="GZ54" s="239"/>
      <c r="HA54" s="239"/>
      <c r="HB54" s="239"/>
      <c r="HC54" s="239"/>
      <c r="HD54" s="239"/>
      <c r="HE54" s="239"/>
      <c r="HF54" s="239"/>
      <c r="HG54" s="239"/>
      <c r="HH54" s="239"/>
      <c r="HI54" s="239"/>
      <c r="HJ54" s="239"/>
      <c r="HK54" s="239"/>
      <c r="HL54" s="239"/>
      <c r="HM54" s="239"/>
      <c r="HN54" s="239"/>
      <c r="HO54" s="239"/>
      <c r="HP54" s="239"/>
      <c r="HQ54" s="239"/>
      <c r="HR54" s="239"/>
      <c r="HS54" s="239"/>
      <c r="HT54" s="239"/>
      <c r="HU54" s="239"/>
      <c r="HV54" s="239"/>
      <c r="HW54" s="239"/>
      <c r="HX54" s="239"/>
      <c r="HY54" s="239"/>
      <c r="HZ54" s="239"/>
      <c r="IA54" s="239"/>
      <c r="IB54" s="239"/>
      <c r="IC54" s="239"/>
      <c r="ID54" s="239"/>
      <c r="IE54" s="239"/>
      <c r="IF54" s="239"/>
      <c r="IG54" s="239"/>
      <c r="IH54" s="239"/>
      <c r="II54" s="239"/>
      <c r="IJ54" s="239"/>
      <c r="IK54" s="239"/>
      <c r="IL54" s="239"/>
      <c r="IM54" s="239"/>
      <c r="IN54" s="239"/>
      <c r="IO54" s="239"/>
      <c r="IP54" s="239"/>
      <c r="IQ54" s="239"/>
      <c r="IR54" s="239"/>
      <c r="IS54" s="239"/>
      <c r="IT54" s="239"/>
      <c r="IU54" s="239"/>
      <c r="IV54" s="239"/>
    </row>
    <row r="55" spans="1:256" x14ac:dyDescent="0.25">
      <c r="A55" s="253" t="s">
        <v>759</v>
      </c>
      <c r="B55" s="254" t="s">
        <v>438</v>
      </c>
      <c r="C55" s="252" t="s">
        <v>761</v>
      </c>
      <c r="D55" s="246">
        <v>0</v>
      </c>
      <c r="E55" s="237">
        <f>+INDEX(Sheet1!A:D,MATCH(MapaIII!C55,Sheet1!A:A,0),2)</f>
        <v>1700000</v>
      </c>
      <c r="F55" s="255">
        <f t="shared" si="7"/>
        <v>1700000</v>
      </c>
      <c r="G55" s="256">
        <f t="shared" si="0"/>
        <v>3.5275765924185735E-3</v>
      </c>
      <c r="H55" s="99">
        <v>1000000</v>
      </c>
      <c r="I55" s="239"/>
      <c r="J55" s="239"/>
      <c r="K55" s="239"/>
      <c r="L55" s="203">
        <v>6</v>
      </c>
      <c r="M55" s="239"/>
      <c r="N55" s="218">
        <f t="shared" si="3"/>
        <v>-700000</v>
      </c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  <c r="DY55" s="239"/>
      <c r="DZ55" s="239"/>
      <c r="EA55" s="239"/>
      <c r="EB55" s="239"/>
      <c r="EC55" s="239"/>
      <c r="ED55" s="239"/>
      <c r="EE55" s="239"/>
      <c r="EF55" s="239"/>
      <c r="EG55" s="239"/>
      <c r="EH55" s="239"/>
      <c r="EI55" s="239"/>
      <c r="EJ55" s="239"/>
      <c r="EK55" s="239"/>
      <c r="EL55" s="239"/>
      <c r="EM55" s="239"/>
      <c r="EN55" s="239"/>
      <c r="EO55" s="239"/>
      <c r="EP55" s="239"/>
      <c r="EQ55" s="239"/>
      <c r="ER55" s="239"/>
      <c r="ES55" s="239"/>
      <c r="ET55" s="239"/>
      <c r="EU55" s="239"/>
      <c r="EV55" s="239"/>
      <c r="EW55" s="239"/>
      <c r="EX55" s="239"/>
      <c r="EY55" s="239"/>
      <c r="EZ55" s="239"/>
      <c r="FA55" s="239"/>
      <c r="FB55" s="239"/>
      <c r="FC55" s="239"/>
      <c r="FD55" s="239"/>
      <c r="FE55" s="239"/>
      <c r="FF55" s="239"/>
      <c r="FG55" s="239"/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39"/>
      <c r="FS55" s="239"/>
      <c r="FT55" s="239"/>
      <c r="FU55" s="239"/>
      <c r="FV55" s="239"/>
      <c r="FW55" s="239"/>
      <c r="FX55" s="239"/>
      <c r="FY55" s="239"/>
      <c r="FZ55" s="239"/>
      <c r="GA55" s="239"/>
      <c r="GB55" s="239"/>
      <c r="GC55" s="239"/>
      <c r="GD55" s="239"/>
      <c r="GE55" s="239"/>
      <c r="GF55" s="239"/>
      <c r="GG55" s="239"/>
      <c r="GH55" s="239"/>
      <c r="GI55" s="239"/>
      <c r="GJ55" s="239"/>
      <c r="GK55" s="239"/>
      <c r="GL55" s="239"/>
      <c r="GM55" s="239"/>
      <c r="GN55" s="239"/>
      <c r="GO55" s="239"/>
      <c r="GP55" s="239"/>
      <c r="GQ55" s="239"/>
      <c r="GR55" s="239"/>
      <c r="GS55" s="239"/>
      <c r="GT55" s="239"/>
      <c r="GU55" s="239"/>
      <c r="GV55" s="239"/>
      <c r="GW55" s="239"/>
      <c r="GX55" s="239"/>
      <c r="GY55" s="239"/>
      <c r="GZ55" s="239"/>
      <c r="HA55" s="239"/>
      <c r="HB55" s="239"/>
      <c r="HC55" s="239"/>
      <c r="HD55" s="239"/>
      <c r="HE55" s="239"/>
      <c r="HF55" s="239"/>
      <c r="HG55" s="239"/>
      <c r="HH55" s="239"/>
      <c r="HI55" s="239"/>
      <c r="HJ55" s="239"/>
      <c r="HK55" s="239"/>
      <c r="HL55" s="239"/>
      <c r="HM55" s="239"/>
      <c r="HN55" s="239"/>
      <c r="HO55" s="239"/>
      <c r="HP55" s="239"/>
      <c r="HQ55" s="239"/>
      <c r="HR55" s="239"/>
      <c r="HS55" s="239"/>
      <c r="HT55" s="239"/>
      <c r="HU55" s="239"/>
      <c r="HV55" s="239"/>
      <c r="HW55" s="239"/>
      <c r="HX55" s="239"/>
      <c r="HY55" s="239"/>
      <c r="HZ55" s="239"/>
      <c r="IA55" s="239"/>
      <c r="IB55" s="239"/>
      <c r="IC55" s="239"/>
      <c r="ID55" s="239"/>
      <c r="IE55" s="239"/>
      <c r="IF55" s="239"/>
      <c r="IG55" s="239"/>
      <c r="IH55" s="239"/>
      <c r="II55" s="239"/>
      <c r="IJ55" s="239"/>
      <c r="IK55" s="239"/>
      <c r="IL55" s="239"/>
      <c r="IM55" s="239"/>
      <c r="IN55" s="239"/>
      <c r="IO55" s="239"/>
      <c r="IP55" s="239"/>
      <c r="IQ55" s="239"/>
      <c r="IR55" s="239"/>
      <c r="IS55" s="239"/>
      <c r="IT55" s="239"/>
      <c r="IU55" s="239"/>
      <c r="IV55" s="239"/>
    </row>
    <row r="56" spans="1:256" x14ac:dyDescent="0.25">
      <c r="A56" s="253" t="s">
        <v>759</v>
      </c>
      <c r="B56" s="254" t="s">
        <v>438</v>
      </c>
      <c r="C56" s="252" t="s">
        <v>1027</v>
      </c>
      <c r="D56" s="246">
        <v>0</v>
      </c>
      <c r="E56" s="237">
        <f>+INDEX(Sheet1!A:D,MATCH(MapaIII!C56,Sheet1!A:A,0),2)</f>
        <v>1500000</v>
      </c>
      <c r="F56" s="255">
        <f t="shared" si="7"/>
        <v>1500000</v>
      </c>
      <c r="G56" s="256">
        <f>F56/$F$9</f>
        <v>3.1125675815457999E-3</v>
      </c>
      <c r="H56" s="99">
        <v>2000000</v>
      </c>
      <c r="I56" s="239"/>
      <c r="J56" s="239"/>
      <c r="K56" s="239"/>
      <c r="L56" s="203" t="e">
        <v>#N/A</v>
      </c>
      <c r="M56" s="239"/>
      <c r="N56" s="218">
        <f>+H56-E56</f>
        <v>500000</v>
      </c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  <c r="DY56" s="239"/>
      <c r="DZ56" s="239"/>
      <c r="EA56" s="239"/>
      <c r="EB56" s="239"/>
      <c r="EC56" s="239"/>
      <c r="ED56" s="239"/>
      <c r="EE56" s="239"/>
      <c r="EF56" s="239"/>
      <c r="EG56" s="239"/>
      <c r="EH56" s="239"/>
      <c r="EI56" s="239"/>
      <c r="EJ56" s="239"/>
      <c r="EK56" s="239"/>
      <c r="EL56" s="239"/>
      <c r="EM56" s="239"/>
      <c r="EN56" s="239"/>
      <c r="EO56" s="239"/>
      <c r="EP56" s="239"/>
      <c r="EQ56" s="239"/>
      <c r="ER56" s="239"/>
      <c r="ES56" s="239"/>
      <c r="ET56" s="239"/>
      <c r="EU56" s="239"/>
      <c r="EV56" s="239"/>
      <c r="EW56" s="239"/>
      <c r="EX56" s="239"/>
      <c r="EY56" s="239"/>
      <c r="EZ56" s="239"/>
      <c r="FA56" s="239"/>
      <c r="FB56" s="239"/>
      <c r="FC56" s="239"/>
      <c r="FD56" s="239"/>
      <c r="FE56" s="239"/>
      <c r="FF56" s="239"/>
      <c r="FG56" s="239"/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39"/>
      <c r="FS56" s="239"/>
      <c r="FT56" s="239"/>
      <c r="FU56" s="239"/>
      <c r="FV56" s="239"/>
      <c r="FW56" s="239"/>
      <c r="FX56" s="239"/>
      <c r="FY56" s="239"/>
      <c r="FZ56" s="239"/>
      <c r="GA56" s="239"/>
      <c r="GB56" s="239"/>
      <c r="GC56" s="239"/>
      <c r="GD56" s="239"/>
      <c r="GE56" s="239"/>
      <c r="GF56" s="239"/>
      <c r="GG56" s="239"/>
      <c r="GH56" s="239"/>
      <c r="GI56" s="239"/>
      <c r="GJ56" s="239"/>
      <c r="GK56" s="239"/>
      <c r="GL56" s="239"/>
      <c r="GM56" s="239"/>
      <c r="GN56" s="239"/>
      <c r="GO56" s="239"/>
      <c r="GP56" s="239"/>
      <c r="GQ56" s="239"/>
      <c r="GR56" s="239"/>
      <c r="GS56" s="239"/>
      <c r="GT56" s="239"/>
      <c r="GU56" s="239"/>
      <c r="GV56" s="239"/>
      <c r="GW56" s="239"/>
      <c r="GX56" s="239"/>
      <c r="GY56" s="239"/>
      <c r="GZ56" s="239"/>
      <c r="HA56" s="239"/>
      <c r="HB56" s="239"/>
      <c r="HC56" s="239"/>
      <c r="HD56" s="239"/>
      <c r="HE56" s="239"/>
      <c r="HF56" s="239"/>
      <c r="HG56" s="239"/>
      <c r="HH56" s="239"/>
      <c r="HI56" s="239"/>
      <c r="HJ56" s="239"/>
      <c r="HK56" s="239"/>
      <c r="HL56" s="239"/>
      <c r="HM56" s="239"/>
      <c r="HN56" s="239"/>
      <c r="HO56" s="239"/>
      <c r="HP56" s="239"/>
      <c r="HQ56" s="239"/>
      <c r="HR56" s="239"/>
      <c r="HS56" s="239"/>
      <c r="HT56" s="239"/>
      <c r="HU56" s="239"/>
      <c r="HV56" s="239"/>
      <c r="HW56" s="239"/>
      <c r="HX56" s="239"/>
      <c r="HY56" s="239"/>
      <c r="HZ56" s="239"/>
      <c r="IA56" s="239"/>
      <c r="IB56" s="239"/>
      <c r="IC56" s="239"/>
      <c r="ID56" s="239"/>
      <c r="IE56" s="239"/>
      <c r="IF56" s="239"/>
      <c r="IG56" s="239"/>
      <c r="IH56" s="239"/>
      <c r="II56" s="239"/>
      <c r="IJ56" s="239"/>
      <c r="IK56" s="239"/>
      <c r="IL56" s="239"/>
      <c r="IM56" s="239"/>
      <c r="IN56" s="239"/>
      <c r="IO56" s="239"/>
      <c r="IP56" s="239"/>
      <c r="IQ56" s="239"/>
      <c r="IR56" s="239"/>
      <c r="IS56" s="239"/>
      <c r="IT56" s="239"/>
      <c r="IU56" s="239"/>
      <c r="IV56" s="239"/>
    </row>
    <row r="57" spans="1:256" ht="25.5" x14ac:dyDescent="0.25">
      <c r="A57" s="253" t="s">
        <v>762</v>
      </c>
      <c r="B57" s="254" t="s">
        <v>485</v>
      </c>
      <c r="C57" s="252" t="s">
        <v>1135</v>
      </c>
      <c r="D57" s="246">
        <v>0</v>
      </c>
      <c r="E57" s="237">
        <f>+INDEX(Sheet1!A:D,MATCH(MapaIII!C57,Sheet1!A:A,0),2)</f>
        <v>33000000</v>
      </c>
      <c r="F57" s="255">
        <f t="shared" si="7"/>
        <v>33000000</v>
      </c>
      <c r="G57" s="256">
        <f t="shared" si="0"/>
        <v>6.8476486794007599E-2</v>
      </c>
      <c r="H57" s="99">
        <v>13000000</v>
      </c>
      <c r="I57" s="258"/>
      <c r="J57" s="239"/>
      <c r="K57" s="239"/>
      <c r="L57" s="203">
        <v>67</v>
      </c>
      <c r="M57" s="239"/>
      <c r="N57" s="218">
        <f t="shared" si="3"/>
        <v>-20000000</v>
      </c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9"/>
      <c r="DS57" s="239"/>
      <c r="DT57" s="239"/>
      <c r="DU57" s="239"/>
      <c r="DV57" s="239"/>
      <c r="DW57" s="239"/>
      <c r="DX57" s="239"/>
      <c r="DY57" s="239"/>
      <c r="DZ57" s="239"/>
      <c r="EA57" s="239"/>
      <c r="EB57" s="239"/>
      <c r="EC57" s="239"/>
      <c r="ED57" s="239"/>
      <c r="EE57" s="239"/>
      <c r="EF57" s="239"/>
      <c r="EG57" s="239"/>
      <c r="EH57" s="239"/>
      <c r="EI57" s="239"/>
      <c r="EJ57" s="239"/>
      <c r="EK57" s="239"/>
      <c r="EL57" s="239"/>
      <c r="EM57" s="239"/>
      <c r="EN57" s="239"/>
      <c r="EO57" s="239"/>
      <c r="EP57" s="239"/>
      <c r="EQ57" s="239"/>
      <c r="ER57" s="239"/>
      <c r="ES57" s="239"/>
      <c r="ET57" s="239"/>
      <c r="EU57" s="239"/>
      <c r="EV57" s="239"/>
      <c r="EW57" s="239"/>
      <c r="EX57" s="239"/>
      <c r="EY57" s="239"/>
      <c r="EZ57" s="239"/>
      <c r="FA57" s="239"/>
      <c r="FB57" s="239"/>
      <c r="FC57" s="239"/>
      <c r="FD57" s="239"/>
      <c r="FE57" s="239"/>
      <c r="FF57" s="239"/>
      <c r="FG57" s="239"/>
      <c r="FH57" s="239"/>
      <c r="FI57" s="239"/>
      <c r="FJ57" s="239"/>
      <c r="FK57" s="239"/>
      <c r="FL57" s="239"/>
      <c r="FM57" s="239"/>
      <c r="FN57" s="239"/>
      <c r="FO57" s="239"/>
      <c r="FP57" s="239"/>
      <c r="FQ57" s="239"/>
      <c r="FR57" s="239"/>
      <c r="FS57" s="239"/>
      <c r="FT57" s="239"/>
      <c r="FU57" s="239"/>
      <c r="FV57" s="239"/>
      <c r="FW57" s="239"/>
      <c r="FX57" s="239"/>
      <c r="FY57" s="239"/>
      <c r="FZ57" s="239"/>
      <c r="GA57" s="239"/>
      <c r="GB57" s="239"/>
      <c r="GC57" s="239"/>
      <c r="GD57" s="239"/>
      <c r="GE57" s="239"/>
      <c r="GF57" s="239"/>
      <c r="GG57" s="239"/>
      <c r="GH57" s="239"/>
      <c r="GI57" s="239"/>
      <c r="GJ57" s="239"/>
      <c r="GK57" s="239"/>
      <c r="GL57" s="239"/>
      <c r="GM57" s="239"/>
      <c r="GN57" s="239"/>
      <c r="GO57" s="239"/>
      <c r="GP57" s="239"/>
      <c r="GQ57" s="239"/>
      <c r="GR57" s="239"/>
      <c r="GS57" s="239"/>
      <c r="GT57" s="239"/>
      <c r="GU57" s="239"/>
      <c r="GV57" s="239"/>
      <c r="GW57" s="239"/>
      <c r="GX57" s="239"/>
      <c r="GY57" s="239"/>
      <c r="GZ57" s="239"/>
      <c r="HA57" s="239"/>
      <c r="HB57" s="239"/>
      <c r="HC57" s="239"/>
      <c r="HD57" s="239"/>
      <c r="HE57" s="239"/>
      <c r="HF57" s="239"/>
      <c r="HG57" s="239"/>
      <c r="HH57" s="239"/>
      <c r="HI57" s="239"/>
      <c r="HJ57" s="239"/>
      <c r="HK57" s="239"/>
      <c r="HL57" s="239"/>
      <c r="HM57" s="239"/>
      <c r="HN57" s="239"/>
      <c r="HO57" s="239"/>
      <c r="HP57" s="239"/>
      <c r="HQ57" s="239"/>
      <c r="HR57" s="239"/>
      <c r="HS57" s="239"/>
      <c r="HT57" s="239"/>
      <c r="HU57" s="239"/>
      <c r="HV57" s="239"/>
      <c r="HW57" s="239"/>
      <c r="HX57" s="239"/>
      <c r="HY57" s="239"/>
      <c r="HZ57" s="239"/>
      <c r="IA57" s="239"/>
      <c r="IB57" s="239"/>
      <c r="IC57" s="239"/>
      <c r="ID57" s="239"/>
      <c r="IE57" s="239"/>
      <c r="IF57" s="239"/>
      <c r="IG57" s="239"/>
      <c r="IH57" s="239"/>
      <c r="II57" s="239"/>
      <c r="IJ57" s="239"/>
      <c r="IK57" s="239"/>
      <c r="IL57" s="239"/>
      <c r="IM57" s="239"/>
      <c r="IN57" s="239"/>
      <c r="IO57" s="239"/>
      <c r="IP57" s="239"/>
      <c r="IQ57" s="239"/>
      <c r="IR57" s="239"/>
      <c r="IS57" s="239"/>
      <c r="IT57" s="239"/>
      <c r="IU57" s="239"/>
      <c r="IV57" s="239"/>
    </row>
    <row r="58" spans="1:256" x14ac:dyDescent="0.2">
      <c r="A58" s="219" t="s">
        <v>764</v>
      </c>
      <c r="B58" s="220"/>
      <c r="C58" s="219" t="s">
        <v>765</v>
      </c>
      <c r="D58" s="222">
        <f>+SUM(D59)</f>
        <v>0</v>
      </c>
      <c r="E58" s="222">
        <f>+SUM(E59)</f>
        <v>200000</v>
      </c>
      <c r="F58" s="222">
        <f t="shared" si="7"/>
        <v>200000</v>
      </c>
      <c r="G58" s="223">
        <f t="shared" si="0"/>
        <v>4.1500901087277337E-4</v>
      </c>
      <c r="H58" s="203">
        <v>2800000</v>
      </c>
      <c r="I58" s="206"/>
      <c r="K58" s="239"/>
      <c r="L58" s="203" t="e">
        <v>#N/A</v>
      </c>
      <c r="M58" s="239"/>
      <c r="N58" s="218">
        <f t="shared" si="3"/>
        <v>2600000</v>
      </c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39"/>
      <c r="DW58" s="239"/>
      <c r="DX58" s="239"/>
      <c r="DY58" s="239"/>
      <c r="DZ58" s="239"/>
      <c r="EA58" s="239"/>
      <c r="EB58" s="239"/>
      <c r="EC58" s="239"/>
      <c r="ED58" s="239"/>
      <c r="EE58" s="239"/>
      <c r="EF58" s="239"/>
      <c r="EG58" s="239"/>
      <c r="EH58" s="239"/>
      <c r="EI58" s="239"/>
      <c r="EJ58" s="239"/>
      <c r="EK58" s="239"/>
      <c r="EL58" s="239"/>
      <c r="EM58" s="239"/>
      <c r="EN58" s="239"/>
      <c r="EO58" s="239"/>
      <c r="EP58" s="239"/>
      <c r="EQ58" s="239"/>
      <c r="ER58" s="239"/>
      <c r="ES58" s="239"/>
      <c r="ET58" s="239"/>
      <c r="EU58" s="239"/>
      <c r="EV58" s="239"/>
      <c r="EW58" s="239"/>
      <c r="EX58" s="239"/>
      <c r="EY58" s="239"/>
      <c r="EZ58" s="239"/>
      <c r="FA58" s="239"/>
      <c r="FB58" s="239"/>
      <c r="FC58" s="239"/>
      <c r="FD58" s="239"/>
      <c r="FE58" s="239"/>
      <c r="FF58" s="239"/>
      <c r="FG58" s="239"/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39"/>
      <c r="FS58" s="239"/>
      <c r="FT58" s="239"/>
      <c r="FU58" s="239"/>
      <c r="FV58" s="239"/>
      <c r="FW58" s="239"/>
      <c r="FX58" s="239"/>
      <c r="FY58" s="239"/>
      <c r="FZ58" s="239"/>
      <c r="GA58" s="239"/>
      <c r="GB58" s="239"/>
      <c r="GC58" s="239"/>
      <c r="GD58" s="239"/>
      <c r="GE58" s="239"/>
      <c r="GF58" s="239"/>
      <c r="GG58" s="239"/>
      <c r="GH58" s="239"/>
      <c r="GI58" s="239"/>
      <c r="GJ58" s="239"/>
      <c r="GK58" s="239"/>
      <c r="GL58" s="239"/>
      <c r="GM58" s="239"/>
      <c r="GN58" s="239"/>
      <c r="GO58" s="239"/>
      <c r="GP58" s="239"/>
      <c r="GQ58" s="239"/>
      <c r="GR58" s="239"/>
      <c r="GS58" s="239"/>
      <c r="GT58" s="239"/>
      <c r="GU58" s="239"/>
      <c r="GV58" s="239"/>
      <c r="GW58" s="239"/>
      <c r="GX58" s="239"/>
      <c r="GY58" s="239"/>
      <c r="GZ58" s="239"/>
      <c r="HA58" s="239"/>
      <c r="HB58" s="239"/>
      <c r="HC58" s="239"/>
      <c r="HD58" s="239"/>
      <c r="HE58" s="239"/>
      <c r="HF58" s="239"/>
      <c r="HG58" s="239"/>
      <c r="HH58" s="239"/>
      <c r="HI58" s="239"/>
      <c r="HJ58" s="239"/>
      <c r="HK58" s="239"/>
      <c r="HL58" s="239"/>
      <c r="HM58" s="239"/>
      <c r="HN58" s="239"/>
      <c r="HO58" s="239"/>
      <c r="HP58" s="239"/>
      <c r="HQ58" s="239"/>
      <c r="HR58" s="239"/>
      <c r="HS58" s="239"/>
      <c r="HT58" s="239"/>
      <c r="HU58" s="239"/>
      <c r="HV58" s="239"/>
      <c r="HW58" s="239"/>
      <c r="HX58" s="239"/>
      <c r="HY58" s="239"/>
      <c r="HZ58" s="239"/>
      <c r="IA58" s="239"/>
      <c r="IB58" s="239"/>
      <c r="IC58" s="239"/>
      <c r="ID58" s="239"/>
      <c r="IE58" s="239"/>
      <c r="IF58" s="239"/>
      <c r="IG58" s="239"/>
      <c r="IH58" s="239"/>
      <c r="II58" s="239"/>
      <c r="IJ58" s="239"/>
      <c r="IK58" s="239"/>
      <c r="IL58" s="239"/>
      <c r="IM58" s="239"/>
      <c r="IN58" s="239"/>
      <c r="IO58" s="239"/>
      <c r="IP58" s="239"/>
      <c r="IQ58" s="239"/>
      <c r="IR58" s="239"/>
      <c r="IS58" s="239"/>
      <c r="IT58" s="239"/>
      <c r="IU58" s="239"/>
      <c r="IV58" s="239"/>
    </row>
    <row r="59" spans="1:256" x14ac:dyDescent="0.25">
      <c r="A59" s="240" t="s">
        <v>766</v>
      </c>
      <c r="B59" s="245" t="s">
        <v>449</v>
      </c>
      <c r="C59" s="252" t="s">
        <v>767</v>
      </c>
      <c r="D59" s="236">
        <v>0</v>
      </c>
      <c r="E59" s="237">
        <f>+INDEX(Sheet1!A:D,MATCH(MapaIII!C59,Sheet1!A:A,0),2)</f>
        <v>200000</v>
      </c>
      <c r="F59" s="237">
        <f t="shared" si="7"/>
        <v>200000</v>
      </c>
      <c r="G59" s="243">
        <f t="shared" si="0"/>
        <v>4.1500901087277337E-4</v>
      </c>
      <c r="H59" s="99">
        <v>300000</v>
      </c>
      <c r="K59" s="232"/>
      <c r="L59" s="203">
        <v>8</v>
      </c>
      <c r="M59" s="232"/>
      <c r="N59" s="218">
        <f t="shared" si="3"/>
        <v>100000</v>
      </c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32"/>
      <c r="DC59" s="232"/>
      <c r="DD59" s="232"/>
      <c r="DE59" s="232"/>
      <c r="DF59" s="232"/>
      <c r="DG59" s="232"/>
      <c r="DH59" s="232"/>
      <c r="DI59" s="232"/>
      <c r="DJ59" s="232"/>
      <c r="DK59" s="232"/>
      <c r="DL59" s="232"/>
      <c r="DM59" s="232"/>
      <c r="DN59" s="232"/>
      <c r="DO59" s="232"/>
      <c r="DP59" s="232"/>
      <c r="DQ59" s="232"/>
      <c r="DR59" s="232"/>
      <c r="DS59" s="232"/>
      <c r="DT59" s="232"/>
      <c r="DU59" s="232"/>
      <c r="DV59" s="232"/>
      <c r="DW59" s="232"/>
      <c r="DX59" s="232"/>
      <c r="DY59" s="232"/>
      <c r="DZ59" s="232"/>
      <c r="EA59" s="232"/>
      <c r="EB59" s="232"/>
      <c r="EC59" s="232"/>
      <c r="ED59" s="232"/>
      <c r="EE59" s="232"/>
      <c r="EF59" s="232"/>
      <c r="EG59" s="232"/>
      <c r="EH59" s="232"/>
      <c r="EI59" s="232"/>
      <c r="EJ59" s="232"/>
      <c r="EK59" s="232"/>
      <c r="EL59" s="232"/>
      <c r="EM59" s="232"/>
      <c r="EN59" s="232"/>
      <c r="EO59" s="232"/>
      <c r="EP59" s="232"/>
      <c r="EQ59" s="232"/>
      <c r="ER59" s="232"/>
      <c r="ES59" s="232"/>
      <c r="ET59" s="232"/>
      <c r="EU59" s="232"/>
      <c r="EV59" s="232"/>
      <c r="EW59" s="232"/>
      <c r="EX59" s="232"/>
      <c r="EY59" s="232"/>
      <c r="EZ59" s="232"/>
      <c r="FA59" s="232"/>
      <c r="FB59" s="232"/>
      <c r="FC59" s="232"/>
      <c r="FD59" s="232"/>
      <c r="FE59" s="232"/>
      <c r="FF59" s="232"/>
      <c r="FG59" s="232"/>
      <c r="FH59" s="232"/>
      <c r="FI59" s="232"/>
      <c r="FJ59" s="232"/>
      <c r="FK59" s="232"/>
      <c r="FL59" s="232"/>
      <c r="FM59" s="232"/>
      <c r="FN59" s="232"/>
      <c r="FO59" s="232"/>
      <c r="FP59" s="232"/>
      <c r="FQ59" s="232"/>
      <c r="FR59" s="232"/>
      <c r="FS59" s="232"/>
      <c r="FT59" s="232"/>
      <c r="FU59" s="232"/>
      <c r="FV59" s="232"/>
      <c r="FW59" s="232"/>
      <c r="FX59" s="232"/>
      <c r="FY59" s="232"/>
      <c r="FZ59" s="232"/>
      <c r="GA59" s="232"/>
      <c r="GB59" s="232"/>
      <c r="GC59" s="232"/>
      <c r="GD59" s="232"/>
      <c r="GE59" s="232"/>
      <c r="GF59" s="232"/>
      <c r="GG59" s="232"/>
      <c r="GH59" s="232"/>
      <c r="GI59" s="232"/>
      <c r="GJ59" s="232"/>
      <c r="GK59" s="232"/>
      <c r="GL59" s="232"/>
      <c r="GM59" s="232"/>
      <c r="GN59" s="232"/>
      <c r="GO59" s="232"/>
      <c r="GP59" s="232"/>
      <c r="GQ59" s="232"/>
      <c r="GR59" s="232"/>
      <c r="GS59" s="232"/>
      <c r="GT59" s="232"/>
      <c r="GU59" s="232"/>
      <c r="GV59" s="232"/>
      <c r="GW59" s="232"/>
      <c r="GX59" s="232"/>
      <c r="GY59" s="232"/>
      <c r="GZ59" s="232"/>
      <c r="HA59" s="232"/>
      <c r="HB59" s="232"/>
      <c r="HC59" s="232"/>
      <c r="HD59" s="232"/>
      <c r="HE59" s="232"/>
      <c r="HF59" s="232"/>
      <c r="HG59" s="232"/>
      <c r="HH59" s="232"/>
      <c r="HI59" s="232"/>
      <c r="HJ59" s="232"/>
      <c r="HK59" s="232"/>
      <c r="HL59" s="232"/>
      <c r="HM59" s="232"/>
      <c r="HN59" s="232"/>
      <c r="HO59" s="232"/>
      <c r="HP59" s="232"/>
      <c r="HQ59" s="232"/>
      <c r="HR59" s="232"/>
      <c r="HS59" s="232"/>
      <c r="HT59" s="232"/>
      <c r="HU59" s="232"/>
      <c r="HV59" s="232"/>
      <c r="HW59" s="232"/>
      <c r="HX59" s="232"/>
      <c r="HY59" s="232"/>
      <c r="HZ59" s="232"/>
      <c r="IA59" s="232"/>
      <c r="IB59" s="232"/>
      <c r="IC59" s="232"/>
      <c r="ID59" s="232"/>
      <c r="IE59" s="232"/>
      <c r="IF59" s="232"/>
      <c r="IG59" s="232"/>
      <c r="IH59" s="232"/>
      <c r="II59" s="232"/>
      <c r="IJ59" s="232"/>
      <c r="IK59" s="232"/>
      <c r="IL59" s="232"/>
      <c r="IM59" s="232"/>
      <c r="IN59" s="232"/>
      <c r="IO59" s="232"/>
      <c r="IP59" s="232"/>
      <c r="IQ59" s="232"/>
      <c r="IR59" s="232"/>
      <c r="IS59" s="232"/>
      <c r="IT59" s="232"/>
      <c r="IU59" s="232"/>
      <c r="IV59" s="232"/>
    </row>
    <row r="60" spans="1:256" x14ac:dyDescent="0.2">
      <c r="A60" s="219" t="s">
        <v>712</v>
      </c>
      <c r="B60" s="220"/>
      <c r="C60" s="219" t="s">
        <v>768</v>
      </c>
      <c r="D60" s="222">
        <f>+SUM(D61)</f>
        <v>0</v>
      </c>
      <c r="E60" s="222">
        <f>+SUM(E61)</f>
        <v>5500000</v>
      </c>
      <c r="F60" s="222">
        <f t="shared" si="7"/>
        <v>5500000</v>
      </c>
      <c r="G60" s="223">
        <f t="shared" si="0"/>
        <v>1.1412747799001267E-2</v>
      </c>
      <c r="H60" s="203">
        <v>0</v>
      </c>
      <c r="K60" s="239"/>
      <c r="L60" s="203" t="e">
        <v>#N/A</v>
      </c>
      <c r="M60" s="239"/>
      <c r="N60" s="218">
        <f t="shared" si="3"/>
        <v>-5500000</v>
      </c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39"/>
      <c r="DR60" s="239"/>
      <c r="DS60" s="239"/>
      <c r="DT60" s="239"/>
      <c r="DU60" s="239"/>
      <c r="DV60" s="239"/>
      <c r="DW60" s="239"/>
      <c r="DX60" s="239"/>
      <c r="DY60" s="239"/>
      <c r="DZ60" s="239"/>
      <c r="EA60" s="239"/>
      <c r="EB60" s="239"/>
      <c r="EC60" s="239"/>
      <c r="ED60" s="239"/>
      <c r="EE60" s="239"/>
      <c r="EF60" s="239"/>
      <c r="EG60" s="239"/>
      <c r="EH60" s="239"/>
      <c r="EI60" s="239"/>
      <c r="EJ60" s="239"/>
      <c r="EK60" s="239"/>
      <c r="EL60" s="239"/>
      <c r="EM60" s="239"/>
      <c r="EN60" s="239"/>
      <c r="EO60" s="239"/>
      <c r="EP60" s="239"/>
      <c r="EQ60" s="239"/>
      <c r="ER60" s="239"/>
      <c r="ES60" s="239"/>
      <c r="ET60" s="239"/>
      <c r="EU60" s="239"/>
      <c r="EV60" s="239"/>
      <c r="EW60" s="239"/>
      <c r="EX60" s="239"/>
      <c r="EY60" s="239"/>
      <c r="EZ60" s="239"/>
      <c r="FA60" s="239"/>
      <c r="FB60" s="239"/>
      <c r="FC60" s="239"/>
      <c r="FD60" s="239"/>
      <c r="FE60" s="239"/>
      <c r="FF60" s="239"/>
      <c r="FG60" s="239"/>
      <c r="FH60" s="239"/>
      <c r="FI60" s="239"/>
      <c r="FJ60" s="239"/>
      <c r="FK60" s="239"/>
      <c r="FL60" s="239"/>
      <c r="FM60" s="239"/>
      <c r="FN60" s="239"/>
      <c r="FO60" s="239"/>
      <c r="FP60" s="239"/>
      <c r="FQ60" s="239"/>
      <c r="FR60" s="239"/>
      <c r="FS60" s="239"/>
      <c r="FT60" s="239"/>
      <c r="FU60" s="239"/>
      <c r="FV60" s="239"/>
      <c r="FW60" s="239"/>
      <c r="FX60" s="239"/>
      <c r="FY60" s="239"/>
      <c r="FZ60" s="239"/>
      <c r="GA60" s="239"/>
      <c r="GB60" s="239"/>
      <c r="GC60" s="239"/>
      <c r="GD60" s="239"/>
      <c r="GE60" s="239"/>
      <c r="GF60" s="239"/>
      <c r="GG60" s="239"/>
      <c r="GH60" s="239"/>
      <c r="GI60" s="239"/>
      <c r="GJ60" s="239"/>
      <c r="GK60" s="239"/>
      <c r="GL60" s="239"/>
      <c r="GM60" s="239"/>
      <c r="GN60" s="239"/>
      <c r="GO60" s="239"/>
      <c r="GP60" s="239"/>
      <c r="GQ60" s="239"/>
      <c r="GR60" s="239"/>
      <c r="GS60" s="239"/>
      <c r="GT60" s="239"/>
      <c r="GU60" s="239"/>
      <c r="GV60" s="239"/>
      <c r="GW60" s="239"/>
      <c r="GX60" s="239"/>
      <c r="GY60" s="239"/>
      <c r="GZ60" s="239"/>
      <c r="HA60" s="239"/>
      <c r="HB60" s="239"/>
      <c r="HC60" s="239"/>
      <c r="HD60" s="239"/>
      <c r="HE60" s="239"/>
      <c r="HF60" s="239"/>
      <c r="HG60" s="239"/>
      <c r="HH60" s="239"/>
      <c r="HI60" s="239"/>
      <c r="HJ60" s="239"/>
      <c r="HK60" s="239"/>
      <c r="HL60" s="239"/>
      <c r="HM60" s="239"/>
      <c r="HN60" s="239"/>
      <c r="HO60" s="239"/>
      <c r="HP60" s="239"/>
      <c r="HQ60" s="239"/>
      <c r="HR60" s="239"/>
      <c r="HS60" s="239"/>
      <c r="HT60" s="239"/>
      <c r="HU60" s="239"/>
      <c r="HV60" s="239"/>
      <c r="HW60" s="239"/>
      <c r="HX60" s="239"/>
      <c r="HY60" s="239"/>
      <c r="HZ60" s="239"/>
      <c r="IA60" s="239"/>
      <c r="IB60" s="239"/>
      <c r="IC60" s="239"/>
      <c r="ID60" s="239"/>
      <c r="IE60" s="239"/>
      <c r="IF60" s="239"/>
      <c r="IG60" s="239"/>
      <c r="IH60" s="239"/>
      <c r="II60" s="239"/>
      <c r="IJ60" s="239"/>
      <c r="IK60" s="239"/>
      <c r="IL60" s="239"/>
      <c r="IM60" s="239"/>
      <c r="IN60" s="239"/>
      <c r="IO60" s="239"/>
      <c r="IP60" s="239"/>
      <c r="IQ60" s="239"/>
      <c r="IR60" s="239"/>
      <c r="IS60" s="239"/>
      <c r="IT60" s="239"/>
      <c r="IU60" s="239"/>
      <c r="IV60" s="239"/>
    </row>
    <row r="61" spans="1:256" x14ac:dyDescent="0.25">
      <c r="A61" s="240" t="s">
        <v>769</v>
      </c>
      <c r="B61" s="245" t="s">
        <v>449</v>
      </c>
      <c r="C61" s="252" t="s">
        <v>770</v>
      </c>
      <c r="D61" s="236">
        <v>0</v>
      </c>
      <c r="E61" s="237">
        <f>+INDEX(Sheet1!A:D,MATCH(MapaIII!C61,Sheet1!A:A,0),2)</f>
        <v>5500000</v>
      </c>
      <c r="F61" s="237">
        <f>E61+D61</f>
        <v>5500000</v>
      </c>
      <c r="G61" s="243">
        <f t="shared" si="0"/>
        <v>1.1412747799001267E-2</v>
      </c>
      <c r="H61" s="99">
        <v>6000000</v>
      </c>
      <c r="K61" s="232"/>
      <c r="L61" s="203">
        <v>19</v>
      </c>
      <c r="M61" s="232"/>
      <c r="N61" s="218">
        <f t="shared" ref="N61:N72" si="10">+H61-E61</f>
        <v>500000</v>
      </c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2"/>
      <c r="CB61" s="232"/>
      <c r="CC61" s="232"/>
      <c r="CD61" s="232"/>
      <c r="CE61" s="232"/>
      <c r="CF61" s="232"/>
      <c r="CG61" s="232"/>
      <c r="CH61" s="232"/>
      <c r="CI61" s="232"/>
      <c r="CJ61" s="232"/>
      <c r="CK61" s="232"/>
      <c r="CL61" s="232"/>
      <c r="CM61" s="232"/>
      <c r="CN61" s="232"/>
      <c r="CO61" s="232"/>
      <c r="CP61" s="232"/>
      <c r="CQ61" s="232"/>
      <c r="CR61" s="232"/>
      <c r="CS61" s="232"/>
      <c r="CT61" s="232"/>
      <c r="CU61" s="232"/>
      <c r="CV61" s="232"/>
      <c r="CW61" s="232"/>
      <c r="CX61" s="232"/>
      <c r="CY61" s="232"/>
      <c r="CZ61" s="232"/>
      <c r="DA61" s="232"/>
      <c r="DB61" s="232"/>
      <c r="DC61" s="232"/>
      <c r="DD61" s="232"/>
      <c r="DE61" s="232"/>
      <c r="DF61" s="232"/>
      <c r="DG61" s="232"/>
      <c r="DH61" s="232"/>
      <c r="DI61" s="232"/>
      <c r="DJ61" s="232"/>
      <c r="DK61" s="232"/>
      <c r="DL61" s="232"/>
      <c r="DM61" s="232"/>
      <c r="DN61" s="232"/>
      <c r="DO61" s="232"/>
      <c r="DP61" s="232"/>
      <c r="DQ61" s="232"/>
      <c r="DR61" s="232"/>
      <c r="DS61" s="232"/>
      <c r="DT61" s="232"/>
      <c r="DU61" s="232"/>
      <c r="DV61" s="232"/>
      <c r="DW61" s="232"/>
      <c r="DX61" s="232"/>
      <c r="DY61" s="232"/>
      <c r="DZ61" s="232"/>
      <c r="EA61" s="232"/>
      <c r="EB61" s="232"/>
      <c r="EC61" s="232"/>
      <c r="ED61" s="232"/>
      <c r="EE61" s="232"/>
      <c r="EF61" s="232"/>
      <c r="EG61" s="232"/>
      <c r="EH61" s="232"/>
      <c r="EI61" s="232"/>
      <c r="EJ61" s="232"/>
      <c r="EK61" s="232"/>
      <c r="EL61" s="232"/>
      <c r="EM61" s="232"/>
      <c r="EN61" s="232"/>
      <c r="EO61" s="232"/>
      <c r="EP61" s="232"/>
      <c r="EQ61" s="232"/>
      <c r="ER61" s="232"/>
      <c r="ES61" s="232"/>
      <c r="ET61" s="232"/>
      <c r="EU61" s="232"/>
      <c r="EV61" s="232"/>
      <c r="EW61" s="232"/>
      <c r="EX61" s="232"/>
      <c r="EY61" s="232"/>
      <c r="EZ61" s="232"/>
      <c r="FA61" s="232"/>
      <c r="FB61" s="232"/>
      <c r="FC61" s="232"/>
      <c r="FD61" s="232"/>
      <c r="FE61" s="232"/>
      <c r="FF61" s="232"/>
      <c r="FG61" s="232"/>
      <c r="FH61" s="232"/>
      <c r="FI61" s="232"/>
      <c r="FJ61" s="232"/>
      <c r="FK61" s="232"/>
      <c r="FL61" s="232"/>
      <c r="FM61" s="232"/>
      <c r="FN61" s="232"/>
      <c r="FO61" s="232"/>
      <c r="FP61" s="232"/>
      <c r="FQ61" s="232"/>
      <c r="FR61" s="232"/>
      <c r="FS61" s="232"/>
      <c r="FT61" s="232"/>
      <c r="FU61" s="232"/>
      <c r="FV61" s="232"/>
      <c r="FW61" s="232"/>
      <c r="FX61" s="232"/>
      <c r="FY61" s="232"/>
      <c r="FZ61" s="232"/>
      <c r="GA61" s="232"/>
      <c r="GB61" s="232"/>
      <c r="GC61" s="232"/>
      <c r="GD61" s="232"/>
      <c r="GE61" s="232"/>
      <c r="GF61" s="232"/>
      <c r="GG61" s="232"/>
      <c r="GH61" s="232"/>
      <c r="GI61" s="232"/>
      <c r="GJ61" s="232"/>
      <c r="GK61" s="232"/>
      <c r="GL61" s="232"/>
      <c r="GM61" s="232"/>
      <c r="GN61" s="232"/>
      <c r="GO61" s="232"/>
      <c r="GP61" s="232"/>
      <c r="GQ61" s="232"/>
      <c r="GR61" s="232"/>
      <c r="GS61" s="232"/>
      <c r="GT61" s="232"/>
      <c r="GU61" s="232"/>
      <c r="GV61" s="232"/>
      <c r="GW61" s="232"/>
      <c r="GX61" s="232"/>
      <c r="GY61" s="232"/>
      <c r="GZ61" s="232"/>
      <c r="HA61" s="232"/>
      <c r="HB61" s="232"/>
      <c r="HC61" s="232"/>
      <c r="HD61" s="232"/>
      <c r="HE61" s="232"/>
      <c r="HF61" s="232"/>
      <c r="HG61" s="232"/>
      <c r="HH61" s="232"/>
      <c r="HI61" s="232"/>
      <c r="HJ61" s="232"/>
      <c r="HK61" s="232"/>
      <c r="HL61" s="232"/>
      <c r="HM61" s="232"/>
      <c r="HN61" s="232"/>
      <c r="HO61" s="232"/>
      <c r="HP61" s="232"/>
      <c r="HQ61" s="232"/>
      <c r="HR61" s="232"/>
      <c r="HS61" s="232"/>
      <c r="HT61" s="232"/>
      <c r="HU61" s="232"/>
      <c r="HV61" s="232"/>
      <c r="HW61" s="232"/>
      <c r="HX61" s="232"/>
      <c r="HY61" s="232"/>
      <c r="HZ61" s="232"/>
      <c r="IA61" s="232"/>
      <c r="IB61" s="232"/>
      <c r="IC61" s="232"/>
      <c r="ID61" s="232"/>
      <c r="IE61" s="232"/>
      <c r="IF61" s="232"/>
      <c r="IG61" s="232"/>
      <c r="IH61" s="232"/>
      <c r="II61" s="232"/>
      <c r="IJ61" s="232"/>
      <c r="IK61" s="232"/>
      <c r="IL61" s="232"/>
      <c r="IM61" s="232"/>
      <c r="IN61" s="232"/>
      <c r="IO61" s="232"/>
      <c r="IP61" s="232"/>
      <c r="IQ61" s="232"/>
      <c r="IR61" s="232"/>
      <c r="IS61" s="232"/>
      <c r="IT61" s="232"/>
      <c r="IU61" s="232"/>
      <c r="IV61" s="232"/>
    </row>
    <row r="62" spans="1:256" x14ac:dyDescent="0.2">
      <c r="A62" s="219" t="s">
        <v>771</v>
      </c>
      <c r="B62" s="220"/>
      <c r="C62" s="219" t="s">
        <v>772</v>
      </c>
      <c r="D62" s="238">
        <f>SUM(D63:D66)</f>
        <v>0</v>
      </c>
      <c r="E62" s="222">
        <f>+SUM(E63:E66)</f>
        <v>7820000</v>
      </c>
      <c r="F62" s="222">
        <f>D62+E62</f>
        <v>7820000</v>
      </c>
      <c r="G62" s="223">
        <f t="shared" si="0"/>
        <v>1.6226852325125437E-2</v>
      </c>
      <c r="H62" s="203">
        <v>5700000</v>
      </c>
      <c r="K62" s="239"/>
      <c r="L62" s="203" t="e">
        <v>#N/A</v>
      </c>
      <c r="M62" s="239"/>
      <c r="N62" s="218">
        <f t="shared" si="10"/>
        <v>-2120000</v>
      </c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  <c r="DY62" s="239"/>
      <c r="DZ62" s="239"/>
      <c r="EA62" s="239"/>
      <c r="EB62" s="239"/>
      <c r="EC62" s="239"/>
      <c r="ED62" s="239"/>
      <c r="EE62" s="239"/>
      <c r="EF62" s="239"/>
      <c r="EG62" s="239"/>
      <c r="EH62" s="239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239"/>
      <c r="EX62" s="239"/>
      <c r="EY62" s="239"/>
      <c r="EZ62" s="239"/>
      <c r="FA62" s="239"/>
      <c r="FB62" s="239"/>
      <c r="FC62" s="239"/>
      <c r="FD62" s="239"/>
      <c r="FE62" s="239"/>
      <c r="FF62" s="239"/>
      <c r="FG62" s="239"/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39"/>
      <c r="FS62" s="239"/>
      <c r="FT62" s="239"/>
      <c r="FU62" s="239"/>
      <c r="FV62" s="239"/>
      <c r="FW62" s="239"/>
      <c r="FX62" s="239"/>
      <c r="FY62" s="239"/>
      <c r="FZ62" s="239"/>
      <c r="GA62" s="239"/>
      <c r="GB62" s="239"/>
      <c r="GC62" s="239"/>
      <c r="GD62" s="239"/>
      <c r="GE62" s="239"/>
      <c r="GF62" s="239"/>
      <c r="GG62" s="239"/>
      <c r="GH62" s="239"/>
      <c r="GI62" s="239"/>
      <c r="GJ62" s="239"/>
      <c r="GK62" s="239"/>
      <c r="GL62" s="239"/>
      <c r="GM62" s="239"/>
      <c r="GN62" s="239"/>
      <c r="GO62" s="239"/>
      <c r="GP62" s="239"/>
      <c r="GQ62" s="239"/>
      <c r="GR62" s="239"/>
      <c r="GS62" s="239"/>
      <c r="GT62" s="239"/>
      <c r="GU62" s="239"/>
      <c r="GV62" s="239"/>
      <c r="GW62" s="239"/>
      <c r="GX62" s="239"/>
      <c r="GY62" s="239"/>
      <c r="GZ62" s="239"/>
      <c r="HA62" s="239"/>
      <c r="HB62" s="239"/>
      <c r="HC62" s="239"/>
      <c r="HD62" s="239"/>
      <c r="HE62" s="239"/>
      <c r="HF62" s="239"/>
      <c r="HG62" s="239"/>
      <c r="HH62" s="239"/>
      <c r="HI62" s="239"/>
      <c r="HJ62" s="239"/>
      <c r="HK62" s="239"/>
      <c r="HL62" s="239"/>
      <c r="HM62" s="239"/>
      <c r="HN62" s="239"/>
      <c r="HO62" s="239"/>
      <c r="HP62" s="239"/>
      <c r="HQ62" s="239"/>
      <c r="HR62" s="239"/>
      <c r="HS62" s="239"/>
      <c r="HT62" s="239"/>
      <c r="HU62" s="239"/>
      <c r="HV62" s="239"/>
      <c r="HW62" s="239"/>
      <c r="HX62" s="239"/>
      <c r="HY62" s="239"/>
      <c r="HZ62" s="239"/>
      <c r="IA62" s="239"/>
      <c r="IB62" s="239"/>
      <c r="IC62" s="239"/>
      <c r="ID62" s="239"/>
      <c r="IE62" s="239"/>
      <c r="IF62" s="239"/>
      <c r="IG62" s="239"/>
      <c r="IH62" s="239"/>
      <c r="II62" s="239"/>
      <c r="IJ62" s="239"/>
      <c r="IK62" s="239"/>
      <c r="IL62" s="239"/>
      <c r="IM62" s="239"/>
      <c r="IN62" s="239"/>
      <c r="IO62" s="239"/>
      <c r="IP62" s="239"/>
      <c r="IQ62" s="239"/>
      <c r="IR62" s="239"/>
      <c r="IS62" s="239"/>
      <c r="IT62" s="239"/>
      <c r="IU62" s="239"/>
      <c r="IV62" s="239"/>
    </row>
    <row r="63" spans="1:256" x14ac:dyDescent="0.25">
      <c r="A63" s="253" t="s">
        <v>775</v>
      </c>
      <c r="B63" s="245" t="s">
        <v>449</v>
      </c>
      <c r="C63" s="257" t="s">
        <v>776</v>
      </c>
      <c r="D63" s="246">
        <v>0</v>
      </c>
      <c r="E63" s="237">
        <f>+INDEX(Sheet1!A:D,MATCH(MapaIII!C63,Sheet1!A:A,0),2)</f>
        <v>700000</v>
      </c>
      <c r="F63" s="255">
        <f>D63+E63</f>
        <v>700000</v>
      </c>
      <c r="G63" s="256">
        <f t="shared" si="0"/>
        <v>1.4525315380547067E-3</v>
      </c>
      <c r="H63" s="99">
        <v>600000</v>
      </c>
      <c r="K63" s="239"/>
      <c r="L63" s="203">
        <v>15</v>
      </c>
      <c r="M63" s="239"/>
      <c r="N63" s="218">
        <f t="shared" si="10"/>
        <v>-100000</v>
      </c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  <c r="IQ63" s="239"/>
      <c r="IR63" s="239"/>
      <c r="IS63" s="239"/>
      <c r="IT63" s="239"/>
      <c r="IU63" s="239"/>
      <c r="IV63" s="239"/>
    </row>
    <row r="64" spans="1:256" x14ac:dyDescent="0.25">
      <c r="A64" s="253" t="s">
        <v>775</v>
      </c>
      <c r="B64" s="245" t="s">
        <v>449</v>
      </c>
      <c r="C64" s="257" t="s">
        <v>773</v>
      </c>
      <c r="D64" s="246">
        <v>0</v>
      </c>
      <c r="E64" s="237">
        <f>+INDEX(Sheet1!A:D,MATCH(MapaIII!C64,Sheet1!A:A,0),2)</f>
        <v>110000</v>
      </c>
      <c r="F64" s="255">
        <f>D64+E64</f>
        <v>110000</v>
      </c>
      <c r="G64" s="256">
        <f>F64/$F$9</f>
        <v>2.2825495598002534E-4</v>
      </c>
      <c r="H64" s="99" t="e">
        <v>#N/A</v>
      </c>
      <c r="K64" s="239"/>
      <c r="L64" s="203" t="e">
        <v>#N/A</v>
      </c>
      <c r="M64" s="239"/>
      <c r="N64" s="218" t="e">
        <f>+H64-E64</f>
        <v>#N/A</v>
      </c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  <c r="IR64" s="239"/>
      <c r="IS64" s="239"/>
      <c r="IT64" s="239"/>
      <c r="IU64" s="239"/>
      <c r="IV64" s="239"/>
    </row>
    <row r="65" spans="1:256" x14ac:dyDescent="0.25">
      <c r="A65" s="253" t="s">
        <v>775</v>
      </c>
      <c r="B65" s="245" t="s">
        <v>449</v>
      </c>
      <c r="C65" s="257" t="s">
        <v>1040</v>
      </c>
      <c r="D65" s="246"/>
      <c r="E65" s="237">
        <f>+INDEX(Sheet1!A:D,MATCH(MapaIII!C65,Sheet1!A:A,0),2)</f>
        <v>1010000</v>
      </c>
      <c r="F65" s="255">
        <f>D65+E65</f>
        <v>1010000</v>
      </c>
      <c r="G65" s="256">
        <f>F65/$F$9</f>
        <v>2.0957955049075053E-3</v>
      </c>
      <c r="H65" s="99"/>
      <c r="K65" s="239"/>
      <c r="M65" s="239"/>
      <c r="N65" s="218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  <c r="IQ65" s="239"/>
      <c r="IR65" s="239"/>
      <c r="IS65" s="239"/>
      <c r="IT65" s="239"/>
      <c r="IU65" s="239"/>
      <c r="IV65" s="239"/>
    </row>
    <row r="66" spans="1:256" x14ac:dyDescent="0.25">
      <c r="A66" s="253" t="s">
        <v>777</v>
      </c>
      <c r="B66" s="245" t="s">
        <v>449</v>
      </c>
      <c r="C66" s="257" t="s">
        <v>778</v>
      </c>
      <c r="D66" s="246">
        <v>0</v>
      </c>
      <c r="E66" s="237">
        <f>+INDEX(Sheet1!A:D,MATCH(MapaIII!C66,Sheet1!A:A,0),2)</f>
        <v>6000000</v>
      </c>
      <c r="F66" s="255">
        <f>E66+D66</f>
        <v>6000000</v>
      </c>
      <c r="G66" s="256">
        <f t="shared" si="0"/>
        <v>1.24502703261832E-2</v>
      </c>
      <c r="H66" s="99">
        <v>4000000</v>
      </c>
      <c r="K66" s="239"/>
      <c r="L66" s="203">
        <v>14</v>
      </c>
      <c r="M66" s="239"/>
      <c r="N66" s="218">
        <f t="shared" si="10"/>
        <v>-2000000</v>
      </c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  <c r="IQ66" s="239"/>
      <c r="IR66" s="239"/>
      <c r="IS66" s="239"/>
      <c r="IT66" s="239"/>
      <c r="IU66" s="239"/>
      <c r="IV66" s="239"/>
    </row>
    <row r="67" spans="1:256" x14ac:dyDescent="0.2">
      <c r="A67" s="219" t="s">
        <v>779</v>
      </c>
      <c r="B67" s="220"/>
      <c r="C67" s="219" t="s">
        <v>780</v>
      </c>
      <c r="D67" s="222">
        <f>+SUM(D68:D70)</f>
        <v>0</v>
      </c>
      <c r="E67" s="222">
        <f>+SUM(E68:E70)</f>
        <v>20300000</v>
      </c>
      <c r="F67" s="222">
        <f>D67+E67</f>
        <v>20300000</v>
      </c>
      <c r="G67" s="223">
        <f t="shared" si="0"/>
        <v>4.2123414603586498E-2</v>
      </c>
      <c r="H67" s="203">
        <v>0</v>
      </c>
      <c r="K67" s="239"/>
      <c r="L67" s="203" t="e">
        <v>#N/A</v>
      </c>
      <c r="M67" s="239"/>
      <c r="N67" s="218">
        <f t="shared" si="10"/>
        <v>-20300000</v>
      </c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  <c r="DY67" s="239"/>
      <c r="DZ67" s="239"/>
      <c r="EA67" s="239"/>
      <c r="EB67" s="239"/>
      <c r="EC67" s="239"/>
      <c r="ED67" s="239"/>
      <c r="EE67" s="239"/>
      <c r="EF67" s="239"/>
      <c r="EG67" s="239"/>
      <c r="EH67" s="239"/>
      <c r="EI67" s="239"/>
      <c r="EJ67" s="239"/>
      <c r="EK67" s="239"/>
      <c r="EL67" s="239"/>
      <c r="EM67" s="239"/>
      <c r="EN67" s="239"/>
      <c r="EO67" s="239"/>
      <c r="EP67" s="239"/>
      <c r="EQ67" s="239"/>
      <c r="ER67" s="239"/>
      <c r="ES67" s="239"/>
      <c r="ET67" s="239"/>
      <c r="EU67" s="239"/>
      <c r="EV67" s="239"/>
      <c r="EW67" s="239"/>
      <c r="EX67" s="239"/>
      <c r="EY67" s="239"/>
      <c r="EZ67" s="239"/>
      <c r="FA67" s="239"/>
      <c r="FB67" s="239"/>
      <c r="FC67" s="239"/>
      <c r="FD67" s="239"/>
      <c r="FE67" s="239"/>
      <c r="FF67" s="239"/>
      <c r="FG67" s="239"/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39"/>
      <c r="FS67" s="239"/>
      <c r="FT67" s="239"/>
      <c r="FU67" s="239"/>
      <c r="FV67" s="239"/>
      <c r="FW67" s="239"/>
      <c r="FX67" s="239"/>
      <c r="FY67" s="239"/>
      <c r="FZ67" s="239"/>
      <c r="GA67" s="239"/>
      <c r="GB67" s="239"/>
      <c r="GC67" s="239"/>
      <c r="GD67" s="239"/>
      <c r="GE67" s="239"/>
      <c r="GF67" s="239"/>
      <c r="GG67" s="239"/>
      <c r="GH67" s="239"/>
      <c r="GI67" s="239"/>
      <c r="GJ67" s="239"/>
      <c r="GK67" s="239"/>
      <c r="GL67" s="239"/>
      <c r="GM67" s="239"/>
      <c r="GN67" s="239"/>
      <c r="GO67" s="239"/>
      <c r="GP67" s="239"/>
      <c r="GQ67" s="239"/>
      <c r="GR67" s="239"/>
      <c r="GS67" s="239"/>
      <c r="GT67" s="239"/>
      <c r="GU67" s="239"/>
      <c r="GV67" s="239"/>
      <c r="GW67" s="239"/>
      <c r="GX67" s="239"/>
      <c r="GY67" s="239"/>
      <c r="GZ67" s="239"/>
      <c r="HA67" s="239"/>
      <c r="HB67" s="239"/>
      <c r="HC67" s="239"/>
      <c r="HD67" s="239"/>
      <c r="HE67" s="239"/>
      <c r="HF67" s="239"/>
      <c r="HG67" s="239"/>
      <c r="HH67" s="239"/>
      <c r="HI67" s="239"/>
      <c r="HJ67" s="239"/>
      <c r="HK67" s="239"/>
      <c r="HL67" s="239"/>
      <c r="HM67" s="239"/>
      <c r="HN67" s="239"/>
      <c r="HO67" s="239"/>
      <c r="HP67" s="239"/>
      <c r="HQ67" s="239"/>
      <c r="HR67" s="239"/>
      <c r="HS67" s="239"/>
      <c r="HT67" s="239"/>
      <c r="HU67" s="239"/>
      <c r="HV67" s="239"/>
      <c r="HW67" s="239"/>
      <c r="HX67" s="239"/>
      <c r="HY67" s="239"/>
      <c r="HZ67" s="239"/>
      <c r="IA67" s="239"/>
      <c r="IB67" s="239"/>
      <c r="IC67" s="239"/>
      <c r="ID67" s="239"/>
      <c r="IE67" s="239"/>
      <c r="IF67" s="239"/>
      <c r="IG67" s="239"/>
      <c r="IH67" s="239"/>
      <c r="II67" s="239"/>
      <c r="IJ67" s="239"/>
      <c r="IK67" s="239"/>
      <c r="IL67" s="239"/>
      <c r="IM67" s="239"/>
      <c r="IN67" s="239"/>
      <c r="IO67" s="239"/>
      <c r="IP67" s="239"/>
      <c r="IQ67" s="239"/>
      <c r="IR67" s="239"/>
      <c r="IS67" s="239"/>
      <c r="IT67" s="239"/>
      <c r="IU67" s="239"/>
      <c r="IV67" s="239"/>
    </row>
    <row r="68" spans="1:256" x14ac:dyDescent="0.25">
      <c r="A68" s="253" t="s">
        <v>782</v>
      </c>
      <c r="B68" s="245" t="s">
        <v>449</v>
      </c>
      <c r="C68" s="251" t="s">
        <v>783</v>
      </c>
      <c r="D68" s="246">
        <v>0</v>
      </c>
      <c r="E68" s="237">
        <f>+INDEX(Sheet1!A:D,MATCH(MapaIII!C68,Sheet1!A:A,0),2)</f>
        <v>800000</v>
      </c>
      <c r="F68" s="255">
        <f>D68+E68</f>
        <v>800000</v>
      </c>
      <c r="G68" s="256">
        <f>F68/$F$9</f>
        <v>1.6600360434910935E-3</v>
      </c>
      <c r="H68" s="99">
        <v>1000000</v>
      </c>
      <c r="K68" s="239"/>
      <c r="L68" s="203">
        <v>23</v>
      </c>
      <c r="M68" s="239"/>
      <c r="N68" s="218">
        <f t="shared" si="10"/>
        <v>200000</v>
      </c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  <c r="DY68" s="239"/>
      <c r="DZ68" s="239"/>
      <c r="EA68" s="239"/>
      <c r="EB68" s="239"/>
      <c r="EC68" s="239"/>
      <c r="ED68" s="239"/>
      <c r="EE68" s="239"/>
      <c r="EF68" s="239"/>
      <c r="EG68" s="239"/>
      <c r="EH68" s="239"/>
      <c r="EI68" s="239"/>
      <c r="EJ68" s="239"/>
      <c r="EK68" s="239"/>
      <c r="EL68" s="239"/>
      <c r="EM68" s="239"/>
      <c r="EN68" s="239"/>
      <c r="EO68" s="239"/>
      <c r="EP68" s="239"/>
      <c r="EQ68" s="239"/>
      <c r="ER68" s="239"/>
      <c r="ES68" s="239"/>
      <c r="ET68" s="239"/>
      <c r="EU68" s="239"/>
      <c r="EV68" s="239"/>
      <c r="EW68" s="239"/>
      <c r="EX68" s="239"/>
      <c r="EY68" s="239"/>
      <c r="EZ68" s="239"/>
      <c r="FA68" s="239"/>
      <c r="FB68" s="239"/>
      <c r="FC68" s="239"/>
      <c r="FD68" s="239"/>
      <c r="FE68" s="239"/>
      <c r="FF68" s="239"/>
      <c r="FG68" s="239"/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39"/>
      <c r="FS68" s="239"/>
      <c r="FT68" s="239"/>
      <c r="FU68" s="239"/>
      <c r="FV68" s="239"/>
      <c r="FW68" s="239"/>
      <c r="FX68" s="239"/>
      <c r="FY68" s="239"/>
      <c r="FZ68" s="239"/>
      <c r="GA68" s="239"/>
      <c r="GB68" s="239"/>
      <c r="GC68" s="239"/>
      <c r="GD68" s="239"/>
      <c r="GE68" s="239"/>
      <c r="GF68" s="239"/>
      <c r="GG68" s="239"/>
      <c r="GH68" s="239"/>
      <c r="GI68" s="239"/>
      <c r="GJ68" s="239"/>
      <c r="GK68" s="239"/>
      <c r="GL68" s="239"/>
      <c r="GM68" s="239"/>
      <c r="GN68" s="239"/>
      <c r="GO68" s="239"/>
      <c r="GP68" s="239"/>
      <c r="GQ68" s="239"/>
      <c r="GR68" s="239"/>
      <c r="GS68" s="239"/>
      <c r="GT68" s="239"/>
      <c r="GU68" s="239"/>
      <c r="GV68" s="239"/>
      <c r="GW68" s="239"/>
      <c r="GX68" s="239"/>
      <c r="GY68" s="239"/>
      <c r="GZ68" s="239"/>
      <c r="HA68" s="239"/>
      <c r="HB68" s="239"/>
      <c r="HC68" s="239"/>
      <c r="HD68" s="239"/>
      <c r="HE68" s="239"/>
      <c r="HF68" s="239"/>
      <c r="HG68" s="239"/>
      <c r="HH68" s="239"/>
      <c r="HI68" s="239"/>
      <c r="HJ68" s="239"/>
      <c r="HK68" s="239"/>
      <c r="HL68" s="239"/>
      <c r="HM68" s="239"/>
      <c r="HN68" s="239"/>
      <c r="HO68" s="239"/>
      <c r="HP68" s="239"/>
      <c r="HQ68" s="239"/>
      <c r="HR68" s="239"/>
      <c r="HS68" s="239"/>
      <c r="HT68" s="239"/>
      <c r="HU68" s="239"/>
      <c r="HV68" s="239"/>
      <c r="HW68" s="239"/>
      <c r="HX68" s="239"/>
      <c r="HY68" s="239"/>
      <c r="HZ68" s="239"/>
      <c r="IA68" s="239"/>
      <c r="IB68" s="239"/>
      <c r="IC68" s="239"/>
      <c r="ID68" s="239"/>
      <c r="IE68" s="239"/>
      <c r="IF68" s="239"/>
      <c r="IG68" s="239"/>
      <c r="IH68" s="239"/>
      <c r="II68" s="239"/>
      <c r="IJ68" s="239"/>
      <c r="IK68" s="239"/>
      <c r="IL68" s="239"/>
      <c r="IM68" s="239"/>
      <c r="IN68" s="239"/>
      <c r="IO68" s="239"/>
      <c r="IP68" s="239"/>
      <c r="IQ68" s="239"/>
      <c r="IR68" s="239"/>
      <c r="IS68" s="239"/>
      <c r="IT68" s="239"/>
      <c r="IU68" s="239"/>
      <c r="IV68" s="239"/>
    </row>
    <row r="69" spans="1:256" x14ac:dyDescent="0.25">
      <c r="A69" s="253" t="s">
        <v>782</v>
      </c>
      <c r="B69" s="245" t="s">
        <v>449</v>
      </c>
      <c r="C69" s="251" t="s">
        <v>1137</v>
      </c>
      <c r="D69" s="246">
        <v>0</v>
      </c>
      <c r="E69" s="237">
        <f>+INDEX(Sheet1!A:D,MATCH(MapaIII!C69,Sheet1!A:A,0),2)</f>
        <v>2500000</v>
      </c>
      <c r="F69" s="255">
        <f>D69+E69</f>
        <v>2500000</v>
      </c>
      <c r="G69" s="256">
        <f>F69/$F$9</f>
        <v>5.1876126359096672E-3</v>
      </c>
      <c r="H69" s="99">
        <v>2500000</v>
      </c>
      <c r="K69" s="239"/>
      <c r="L69" s="203" t="e">
        <v>#N/A</v>
      </c>
      <c r="M69" s="239"/>
      <c r="N69" s="218">
        <f>+H69-E69</f>
        <v>0</v>
      </c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  <c r="DT69" s="239"/>
      <c r="DU69" s="239"/>
      <c r="DV69" s="239"/>
      <c r="DW69" s="239"/>
      <c r="DX69" s="239"/>
      <c r="DY69" s="239"/>
      <c r="DZ69" s="239"/>
      <c r="EA69" s="239"/>
      <c r="EB69" s="239"/>
      <c r="EC69" s="239"/>
      <c r="ED69" s="239"/>
      <c r="EE69" s="239"/>
      <c r="EF69" s="239"/>
      <c r="EG69" s="239"/>
      <c r="EH69" s="239"/>
      <c r="EI69" s="239"/>
      <c r="EJ69" s="239"/>
      <c r="EK69" s="239"/>
      <c r="EL69" s="239"/>
      <c r="EM69" s="239"/>
      <c r="EN69" s="239"/>
      <c r="EO69" s="239"/>
      <c r="EP69" s="239"/>
      <c r="EQ69" s="239"/>
      <c r="ER69" s="239"/>
      <c r="ES69" s="239"/>
      <c r="ET69" s="239"/>
      <c r="EU69" s="239"/>
      <c r="EV69" s="239"/>
      <c r="EW69" s="239"/>
      <c r="EX69" s="239"/>
      <c r="EY69" s="239"/>
      <c r="EZ69" s="239"/>
      <c r="FA69" s="239"/>
      <c r="FB69" s="239"/>
      <c r="FC69" s="239"/>
      <c r="FD69" s="239"/>
      <c r="FE69" s="239"/>
      <c r="FF69" s="239"/>
      <c r="FG69" s="239"/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39"/>
      <c r="FS69" s="239"/>
      <c r="FT69" s="239"/>
      <c r="FU69" s="239"/>
      <c r="FV69" s="239"/>
      <c r="FW69" s="239"/>
      <c r="FX69" s="239"/>
      <c r="FY69" s="239"/>
      <c r="FZ69" s="239"/>
      <c r="GA69" s="239"/>
      <c r="GB69" s="239"/>
      <c r="GC69" s="239"/>
      <c r="GD69" s="239"/>
      <c r="GE69" s="239"/>
      <c r="GF69" s="239"/>
      <c r="GG69" s="239"/>
      <c r="GH69" s="239"/>
      <c r="GI69" s="239"/>
      <c r="GJ69" s="239"/>
      <c r="GK69" s="239"/>
      <c r="GL69" s="239"/>
      <c r="GM69" s="239"/>
      <c r="GN69" s="239"/>
      <c r="GO69" s="239"/>
      <c r="GP69" s="239"/>
      <c r="GQ69" s="239"/>
      <c r="GR69" s="239"/>
      <c r="GS69" s="239"/>
      <c r="GT69" s="239"/>
      <c r="GU69" s="239"/>
      <c r="GV69" s="239"/>
      <c r="GW69" s="239"/>
      <c r="GX69" s="239"/>
      <c r="GY69" s="239"/>
      <c r="GZ69" s="239"/>
      <c r="HA69" s="239"/>
      <c r="HB69" s="239"/>
      <c r="HC69" s="239"/>
      <c r="HD69" s="239"/>
      <c r="HE69" s="239"/>
      <c r="HF69" s="239"/>
      <c r="HG69" s="239"/>
      <c r="HH69" s="239"/>
      <c r="HI69" s="239"/>
      <c r="HJ69" s="239"/>
      <c r="HK69" s="239"/>
      <c r="HL69" s="239"/>
      <c r="HM69" s="239"/>
      <c r="HN69" s="239"/>
      <c r="HO69" s="239"/>
      <c r="HP69" s="239"/>
      <c r="HQ69" s="239"/>
      <c r="HR69" s="239"/>
      <c r="HS69" s="239"/>
      <c r="HT69" s="239"/>
      <c r="HU69" s="239"/>
      <c r="HV69" s="239"/>
      <c r="HW69" s="239"/>
      <c r="HX69" s="239"/>
      <c r="HY69" s="239"/>
      <c r="HZ69" s="239"/>
      <c r="IA69" s="239"/>
      <c r="IB69" s="239"/>
      <c r="IC69" s="239"/>
      <c r="ID69" s="239"/>
      <c r="IE69" s="239"/>
      <c r="IF69" s="239"/>
      <c r="IG69" s="239"/>
      <c r="IH69" s="239"/>
      <c r="II69" s="239"/>
      <c r="IJ69" s="239"/>
      <c r="IK69" s="239"/>
      <c r="IL69" s="239"/>
      <c r="IM69" s="239"/>
      <c r="IN69" s="239"/>
      <c r="IO69" s="239"/>
      <c r="IP69" s="239"/>
      <c r="IQ69" s="239"/>
      <c r="IR69" s="239"/>
      <c r="IS69" s="239"/>
      <c r="IT69" s="239"/>
      <c r="IU69" s="239"/>
      <c r="IV69" s="239"/>
    </row>
    <row r="70" spans="1:256" x14ac:dyDescent="0.25">
      <c r="A70" s="253" t="s">
        <v>781</v>
      </c>
      <c r="B70" s="245" t="s">
        <v>469</v>
      </c>
      <c r="C70" s="251" t="s">
        <v>784</v>
      </c>
      <c r="D70" s="246">
        <v>0</v>
      </c>
      <c r="E70" s="237">
        <f>+INDEX(Sheet1!A:D,MATCH(MapaIII!C70,Sheet1!A:A,0),2)</f>
        <v>17000000</v>
      </c>
      <c r="F70" s="255">
        <f>D70+E70</f>
        <v>17000000</v>
      </c>
      <c r="G70" s="256">
        <f>F70/$F$9</f>
        <v>3.5275765924185735E-2</v>
      </c>
      <c r="H70" s="99">
        <v>13000000</v>
      </c>
      <c r="K70" s="239"/>
      <c r="L70" s="203">
        <v>55</v>
      </c>
      <c r="M70" s="239"/>
      <c r="N70" s="218">
        <f t="shared" si="10"/>
        <v>-4000000</v>
      </c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39"/>
      <c r="DW70" s="239"/>
      <c r="DX70" s="239"/>
      <c r="DY70" s="239"/>
      <c r="DZ70" s="239"/>
      <c r="EA70" s="239"/>
      <c r="EB70" s="239"/>
      <c r="EC70" s="239"/>
      <c r="ED70" s="239"/>
      <c r="EE70" s="239"/>
      <c r="EF70" s="239"/>
      <c r="EG70" s="239"/>
      <c r="EH70" s="239"/>
      <c r="EI70" s="239"/>
      <c r="EJ70" s="239"/>
      <c r="EK70" s="239"/>
      <c r="EL70" s="239"/>
      <c r="EM70" s="239"/>
      <c r="EN70" s="239"/>
      <c r="EO70" s="239"/>
      <c r="EP70" s="239"/>
      <c r="EQ70" s="239"/>
      <c r="ER70" s="239"/>
      <c r="ES70" s="239"/>
      <c r="ET70" s="239"/>
      <c r="EU70" s="239"/>
      <c r="EV70" s="239"/>
      <c r="EW70" s="239"/>
      <c r="EX70" s="239"/>
      <c r="EY70" s="239"/>
      <c r="EZ70" s="239"/>
      <c r="FA70" s="239"/>
      <c r="FB70" s="239"/>
      <c r="FC70" s="239"/>
      <c r="FD70" s="239"/>
      <c r="FE70" s="239"/>
      <c r="FF70" s="239"/>
      <c r="FG70" s="239"/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39"/>
      <c r="FS70" s="239"/>
      <c r="FT70" s="239"/>
      <c r="FU70" s="239"/>
      <c r="FV70" s="239"/>
      <c r="FW70" s="239"/>
      <c r="FX70" s="239"/>
      <c r="FY70" s="239"/>
      <c r="FZ70" s="239"/>
      <c r="GA70" s="239"/>
      <c r="GB70" s="239"/>
      <c r="GC70" s="239"/>
      <c r="GD70" s="239"/>
      <c r="GE70" s="239"/>
      <c r="GF70" s="239"/>
      <c r="GG70" s="239"/>
      <c r="GH70" s="239"/>
      <c r="GI70" s="239"/>
      <c r="GJ70" s="239"/>
      <c r="GK70" s="239"/>
      <c r="GL70" s="239"/>
      <c r="GM70" s="239"/>
      <c r="GN70" s="239"/>
      <c r="GO70" s="239"/>
      <c r="GP70" s="239"/>
      <c r="GQ70" s="239"/>
      <c r="GR70" s="239"/>
      <c r="GS70" s="239"/>
      <c r="GT70" s="239"/>
      <c r="GU70" s="239"/>
      <c r="GV70" s="239"/>
      <c r="GW70" s="239"/>
      <c r="GX70" s="239"/>
      <c r="GY70" s="239"/>
      <c r="GZ70" s="239"/>
      <c r="HA70" s="239"/>
      <c r="HB70" s="239"/>
      <c r="HC70" s="239"/>
      <c r="HD70" s="239"/>
      <c r="HE70" s="239"/>
      <c r="HF70" s="239"/>
      <c r="HG70" s="239"/>
      <c r="HH70" s="239"/>
      <c r="HI70" s="239"/>
      <c r="HJ70" s="239"/>
      <c r="HK70" s="239"/>
      <c r="HL70" s="239"/>
      <c r="HM70" s="239"/>
      <c r="HN70" s="239"/>
      <c r="HO70" s="239"/>
      <c r="HP70" s="239"/>
      <c r="HQ70" s="239"/>
      <c r="HR70" s="239"/>
      <c r="HS70" s="239"/>
      <c r="HT70" s="239"/>
      <c r="HU70" s="239"/>
      <c r="HV70" s="239"/>
      <c r="HW70" s="239"/>
      <c r="HX70" s="239"/>
      <c r="HY70" s="239"/>
      <c r="HZ70" s="239"/>
      <c r="IA70" s="239"/>
      <c r="IB70" s="239"/>
      <c r="IC70" s="239"/>
      <c r="ID70" s="239"/>
      <c r="IE70" s="239"/>
      <c r="IF70" s="239"/>
      <c r="IG70" s="239"/>
      <c r="IH70" s="239"/>
      <c r="II70" s="239"/>
      <c r="IJ70" s="239"/>
      <c r="IK70" s="239"/>
      <c r="IL70" s="239"/>
      <c r="IM70" s="239"/>
      <c r="IN70" s="239"/>
      <c r="IO70" s="239"/>
      <c r="IP70" s="239"/>
      <c r="IQ70" s="239"/>
      <c r="IR70" s="239"/>
      <c r="IS70" s="239"/>
      <c r="IT70" s="239"/>
      <c r="IU70" s="239"/>
      <c r="IV70" s="239"/>
    </row>
    <row r="71" spans="1:256" ht="15.75" x14ac:dyDescent="0.2">
      <c r="A71" s="259" t="s">
        <v>700</v>
      </c>
      <c r="B71" s="259"/>
      <c r="C71" s="259"/>
      <c r="D71" s="260">
        <f>D67+D62+D60+D58+D35+D30+D22+D19+D10</f>
        <v>206997247</v>
      </c>
      <c r="E71" s="261">
        <f>+E67+E62+E60+E58+E35+E30+E22+E19+E10</f>
        <v>274920000</v>
      </c>
      <c r="F71" s="261">
        <f>D71+E71</f>
        <v>481917247</v>
      </c>
      <c r="G71" s="262">
        <f>F71/F71</f>
        <v>1</v>
      </c>
      <c r="H71" s="203">
        <v>0</v>
      </c>
      <c r="L71" s="203">
        <v>84</v>
      </c>
      <c r="N71" s="218">
        <f t="shared" si="10"/>
        <v>-274920000</v>
      </c>
    </row>
    <row r="72" spans="1:256" x14ac:dyDescent="0.25">
      <c r="A72" s="263"/>
      <c r="B72" s="264"/>
      <c r="C72" s="263"/>
      <c r="D72" s="265"/>
      <c r="E72" s="265"/>
      <c r="F72" s="265"/>
      <c r="G72" s="266"/>
      <c r="L72" s="203">
        <v>84</v>
      </c>
      <c r="N72" s="218">
        <f t="shared" si="10"/>
        <v>0</v>
      </c>
    </row>
    <row r="73" spans="1:256" x14ac:dyDescent="0.2">
      <c r="A73" s="85" t="s">
        <v>785</v>
      </c>
      <c r="B73" s="85"/>
      <c r="C73" s="85"/>
      <c r="D73" s="85"/>
      <c r="E73" s="85"/>
      <c r="F73" s="85"/>
      <c r="G73" s="85"/>
      <c r="L73" s="203">
        <v>84</v>
      </c>
    </row>
    <row r="74" spans="1:256" x14ac:dyDescent="0.2">
      <c r="A74" s="85"/>
      <c r="B74" s="267"/>
      <c r="C74" s="85"/>
      <c r="D74" s="268"/>
      <c r="E74" s="268"/>
      <c r="F74" s="268"/>
      <c r="G74" s="189"/>
      <c r="H74" s="206"/>
      <c r="L74" s="203">
        <v>84</v>
      </c>
    </row>
    <row r="75" spans="1:256" x14ac:dyDescent="0.25">
      <c r="A75" s="71" t="s">
        <v>376</v>
      </c>
      <c r="B75" s="71"/>
      <c r="C75" s="71"/>
      <c r="D75" s="71"/>
      <c r="E75" s="71"/>
      <c r="F75" s="71"/>
      <c r="G75" s="71"/>
      <c r="L75" s="203">
        <v>84</v>
      </c>
    </row>
    <row r="76" spans="1:256" x14ac:dyDescent="0.25">
      <c r="A76" s="191"/>
      <c r="B76" s="269"/>
      <c r="C76" s="191"/>
      <c r="D76" s="270"/>
      <c r="E76" s="270"/>
      <c r="F76" s="270"/>
      <c r="G76" s="191"/>
      <c r="L76" s="203">
        <v>84</v>
      </c>
    </row>
    <row r="77" spans="1:256" x14ac:dyDescent="0.25">
      <c r="A77" s="191" t="s">
        <v>377</v>
      </c>
      <c r="B77" s="191"/>
      <c r="C77" s="191"/>
      <c r="D77" s="191"/>
      <c r="E77" s="191"/>
      <c r="F77" s="191"/>
      <c r="G77" s="191"/>
      <c r="H77" s="206"/>
      <c r="L77" s="203">
        <v>84</v>
      </c>
    </row>
    <row r="78" spans="1:256" x14ac:dyDescent="0.2">
      <c r="A78" s="192" t="s">
        <v>378</v>
      </c>
      <c r="B78" s="192"/>
      <c r="C78" s="192"/>
      <c r="D78" s="192"/>
      <c r="E78" s="192"/>
      <c r="F78" s="192"/>
      <c r="G78" s="192"/>
      <c r="L78" s="203">
        <v>84</v>
      </c>
    </row>
    <row r="79" spans="1:256" ht="15.75" x14ac:dyDescent="0.2">
      <c r="A79" s="271"/>
      <c r="B79" s="272"/>
      <c r="C79" s="271"/>
      <c r="D79" s="273"/>
      <c r="E79" s="273"/>
      <c r="F79" s="273"/>
      <c r="G79" s="274"/>
      <c r="L79" s="203">
        <v>84</v>
      </c>
    </row>
    <row r="80" spans="1:256" x14ac:dyDescent="0.25">
      <c r="L80" s="203">
        <v>84</v>
      </c>
    </row>
    <row r="81" spans="12:12" x14ac:dyDescent="0.25">
      <c r="L81" s="203">
        <v>84</v>
      </c>
    </row>
    <row r="82" spans="12:12" x14ac:dyDescent="0.25">
      <c r="L82" s="203">
        <v>84</v>
      </c>
    </row>
    <row r="83" spans="12:12" x14ac:dyDescent="0.25">
      <c r="L83" s="203">
        <v>84</v>
      </c>
    </row>
    <row r="84" spans="12:12" x14ac:dyDescent="0.25">
      <c r="L84" s="203">
        <v>84</v>
      </c>
    </row>
    <row r="85" spans="12:12" x14ac:dyDescent="0.25">
      <c r="L85" s="203">
        <v>84</v>
      </c>
    </row>
    <row r="86" spans="12:12" x14ac:dyDescent="0.25">
      <c r="L86" s="203">
        <v>84</v>
      </c>
    </row>
    <row r="87" spans="12:12" x14ac:dyDescent="0.25">
      <c r="L87" s="203">
        <v>84</v>
      </c>
    </row>
    <row r="88" spans="12:12" x14ac:dyDescent="0.25">
      <c r="L88" s="203">
        <v>84</v>
      </c>
    </row>
    <row r="89" spans="12:12" x14ac:dyDescent="0.25">
      <c r="L89" s="203">
        <v>84</v>
      </c>
    </row>
    <row r="90" spans="12:12" x14ac:dyDescent="0.25">
      <c r="L90" s="203">
        <v>84</v>
      </c>
    </row>
    <row r="91" spans="12:12" x14ac:dyDescent="0.25">
      <c r="L91" s="203">
        <v>84</v>
      </c>
    </row>
    <row r="92" spans="12:12" x14ac:dyDescent="0.25">
      <c r="L92" s="203">
        <v>84</v>
      </c>
    </row>
    <row r="93" spans="12:12" x14ac:dyDescent="0.25">
      <c r="L93" s="203">
        <v>84</v>
      </c>
    </row>
    <row r="94" spans="12:12" x14ac:dyDescent="0.25">
      <c r="L94" s="203">
        <v>84</v>
      </c>
    </row>
    <row r="95" spans="12:12" x14ac:dyDescent="0.25">
      <c r="L95" s="203">
        <v>84</v>
      </c>
    </row>
    <row r="121" spans="7:7" x14ac:dyDescent="0.25">
      <c r="G121" s="276"/>
    </row>
    <row r="122" spans="7:7" x14ac:dyDescent="0.25">
      <c r="G122" s="276"/>
    </row>
    <row r="123" spans="7:7" x14ac:dyDescent="0.25">
      <c r="G123" s="276"/>
    </row>
    <row r="124" spans="7:7" x14ac:dyDescent="0.25">
      <c r="G124" s="276"/>
    </row>
    <row r="125" spans="7:7" x14ac:dyDescent="0.25">
      <c r="G125" s="276"/>
    </row>
    <row r="126" spans="7:7" x14ac:dyDescent="0.25">
      <c r="G126" s="276"/>
    </row>
    <row r="127" spans="7:7" x14ac:dyDescent="0.25">
      <c r="G127" s="276"/>
    </row>
    <row r="128" spans="7:7" x14ac:dyDescent="0.25">
      <c r="G128" s="276"/>
    </row>
  </sheetData>
  <autoFilter ref="A10:G71"/>
  <printOptions horizontalCentered="1"/>
  <pageMargins left="0" right="0" top="0.55118110236220474" bottom="0.74803149606299213" header="0.31496062992125984" footer="0.31496062992125984"/>
  <pageSetup paperSize="9" scale="61" fitToWidth="0" orientation="portrait" r:id="rId1"/>
  <rowBreaks count="1" manualBreakCount="1">
    <brk id="79" max="16383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H148"/>
  <sheetViews>
    <sheetView topLeftCell="A28" zoomScaleNormal="100" workbookViewId="0">
      <selection activeCell="H21" sqref="H21"/>
    </sheetView>
  </sheetViews>
  <sheetFormatPr defaultRowHeight="14.25" customHeight="1" x14ac:dyDescent="0.25"/>
  <cols>
    <col min="1" max="1" width="1.42578125" style="329" customWidth="1"/>
    <col min="2" max="2" width="2.28515625" style="329" customWidth="1"/>
    <col min="3" max="3" width="24.7109375" style="329" customWidth="1"/>
    <col min="4" max="4" width="19.28515625" style="329" bestFit="1" customWidth="1"/>
    <col min="5" max="5" width="10.42578125" style="302" customWidth="1"/>
    <col min="6" max="6" width="1.28515625" style="302" customWidth="1"/>
    <col min="7" max="7" width="1.5703125" style="304" customWidth="1"/>
    <col min="8" max="8" width="56" style="304" customWidth="1"/>
    <col min="9" max="9" width="19.28515625" style="333" bestFit="1" customWidth="1"/>
    <col min="10" max="10" width="9.42578125" style="333" bestFit="1" customWidth="1"/>
    <col min="11" max="11" width="2.85546875" style="16" customWidth="1"/>
    <col min="12" max="12" width="1.7109375" style="16" customWidth="1"/>
    <col min="13" max="13" width="49.42578125" style="136" bestFit="1" customWidth="1"/>
    <col min="14" max="14" width="10" style="71" bestFit="1" customWidth="1"/>
    <col min="15" max="16384" width="9.140625" style="71"/>
  </cols>
  <sheetData>
    <row r="2" spans="1:34" ht="14.25" customHeight="1" x14ac:dyDescent="0.25">
      <c r="A2" s="4"/>
      <c r="B2" s="4"/>
      <c r="C2" s="4"/>
      <c r="D2" s="4"/>
      <c r="G2" s="16"/>
      <c r="H2" s="16"/>
      <c r="I2" s="303"/>
      <c r="J2" s="303"/>
    </row>
    <row r="3" spans="1:34" ht="14.25" customHeight="1" x14ac:dyDescent="0.25">
      <c r="A3" s="4"/>
      <c r="B3" s="4"/>
      <c r="C3" s="4"/>
      <c r="D3" s="4"/>
      <c r="G3" s="16"/>
      <c r="H3" s="16"/>
      <c r="I3" s="303"/>
      <c r="J3" s="303"/>
    </row>
    <row r="4" spans="1:34" ht="14.25" customHeight="1" x14ac:dyDescent="0.25">
      <c r="A4" s="4"/>
      <c r="B4" s="4"/>
      <c r="C4" s="4"/>
      <c r="D4" s="4"/>
      <c r="G4" s="16"/>
      <c r="H4" s="16"/>
      <c r="I4" s="303"/>
      <c r="J4" s="303"/>
    </row>
    <row r="5" spans="1:34" ht="18.75" customHeight="1" x14ac:dyDescent="0.25">
      <c r="A5" s="4"/>
      <c r="B5" s="4"/>
      <c r="C5" s="659" t="s">
        <v>786</v>
      </c>
      <c r="D5" s="659"/>
      <c r="E5" s="659"/>
      <c r="F5" s="659"/>
      <c r="G5" s="659"/>
      <c r="H5" s="659"/>
      <c r="I5" s="659"/>
      <c r="J5" s="659"/>
      <c r="K5" s="659"/>
      <c r="L5" s="659"/>
      <c r="M5" s="136">
        <v>38854354</v>
      </c>
      <c r="N5" s="71">
        <v>2282388</v>
      </c>
      <c r="O5" s="71">
        <v>4630000</v>
      </c>
      <c r="P5" s="71">
        <v>19702724</v>
      </c>
      <c r="Q5" s="71">
        <v>3279144</v>
      </c>
      <c r="R5" s="71">
        <v>5306080</v>
      </c>
      <c r="S5" s="71">
        <v>5647600</v>
      </c>
      <c r="T5" s="71">
        <v>32600084</v>
      </c>
      <c r="U5" s="71">
        <v>33150620</v>
      </c>
      <c r="V5" s="71">
        <v>22083468</v>
      </c>
      <c r="W5" s="71">
        <v>27397404</v>
      </c>
      <c r="X5" s="71">
        <v>2726256</v>
      </c>
      <c r="Y5" s="71">
        <v>1261944</v>
      </c>
      <c r="Z5" s="71">
        <v>25000</v>
      </c>
      <c r="AA5" s="71">
        <v>1155632</v>
      </c>
      <c r="AB5" s="71">
        <v>8101920</v>
      </c>
      <c r="AC5" s="71">
        <v>1431944</v>
      </c>
      <c r="AD5" s="71">
        <v>1008752</v>
      </c>
      <c r="AE5" s="71">
        <v>60000</v>
      </c>
      <c r="AF5" s="71">
        <v>169621452</v>
      </c>
      <c r="AG5" s="71">
        <v>10737424</v>
      </c>
      <c r="AH5" s="71">
        <v>480416540</v>
      </c>
    </row>
    <row r="6" spans="1:34" ht="21" customHeight="1" x14ac:dyDescent="0.25">
      <c r="A6" s="4"/>
      <c r="B6" s="4"/>
      <c r="C6" s="660" t="s">
        <v>1125</v>
      </c>
      <c r="D6" s="660"/>
      <c r="E6" s="660"/>
      <c r="F6" s="660"/>
      <c r="G6" s="660"/>
      <c r="H6" s="660"/>
      <c r="I6" s="660"/>
      <c r="J6" s="660"/>
      <c r="K6" s="660"/>
      <c r="L6" s="660"/>
    </row>
    <row r="7" spans="1:34" ht="9.75" customHeight="1" x14ac:dyDescent="0.25">
      <c r="A7" s="4"/>
      <c r="B7" s="4"/>
      <c r="C7" s="661" t="s">
        <v>813</v>
      </c>
      <c r="D7" s="661"/>
      <c r="E7" s="661"/>
      <c r="F7" s="661"/>
      <c r="G7" s="661"/>
      <c r="H7" s="661"/>
      <c r="I7" s="661"/>
      <c r="J7" s="661"/>
      <c r="K7" s="305"/>
      <c r="L7" s="305"/>
    </row>
    <row r="8" spans="1:34" ht="14.25" customHeight="1" x14ac:dyDescent="0.25">
      <c r="A8" s="4"/>
      <c r="B8" s="4"/>
      <c r="C8" s="661"/>
      <c r="D8" s="661"/>
      <c r="E8" s="661"/>
      <c r="F8" s="661"/>
      <c r="G8" s="661"/>
      <c r="H8" s="661"/>
      <c r="I8" s="661"/>
      <c r="J8" s="661"/>
    </row>
    <row r="9" spans="1:34" ht="12" customHeight="1" thickBot="1" x14ac:dyDescent="0.3">
      <c r="A9" s="4"/>
      <c r="B9" s="4"/>
      <c r="C9" s="4"/>
      <c r="D9" s="4"/>
      <c r="G9" s="16"/>
      <c r="H9" s="16"/>
      <c r="I9" s="306"/>
      <c r="J9" s="306"/>
    </row>
    <row r="10" spans="1:34" ht="17.25" customHeight="1" thickTop="1" thickBot="1" x14ac:dyDescent="0.3">
      <c r="A10" s="4"/>
      <c r="B10" s="4"/>
      <c r="C10" s="307" t="s">
        <v>814</v>
      </c>
      <c r="D10" s="308" t="s">
        <v>815</v>
      </c>
      <c r="E10" s="308" t="s">
        <v>816</v>
      </c>
      <c r="F10" s="309"/>
      <c r="G10" s="309"/>
      <c r="H10" s="307" t="s">
        <v>817</v>
      </c>
      <c r="I10" s="310" t="s">
        <v>815</v>
      </c>
      <c r="J10" s="308" t="s">
        <v>816</v>
      </c>
    </row>
    <row r="11" spans="1:34" ht="19.5" customHeight="1" thickTop="1" x14ac:dyDescent="0.25">
      <c r="A11" s="4"/>
      <c r="B11" s="4"/>
      <c r="C11" s="311"/>
      <c r="D11" s="312">
        <v>2024</v>
      </c>
      <c r="E11" s="313" t="s">
        <v>818</v>
      </c>
      <c r="F11" s="311"/>
      <c r="G11" s="311"/>
      <c r="H11" s="314"/>
      <c r="I11" s="312">
        <v>2022</v>
      </c>
      <c r="J11" s="315" t="s">
        <v>818</v>
      </c>
      <c r="M11" s="514" t="s">
        <v>1031</v>
      </c>
      <c r="N11"/>
      <c r="O11"/>
    </row>
    <row r="12" spans="1:34" ht="14.25" customHeight="1" x14ac:dyDescent="0.25">
      <c r="A12" s="71"/>
      <c r="B12" s="71"/>
      <c r="C12" s="316" t="s">
        <v>13</v>
      </c>
      <c r="D12" s="317">
        <v>18375000</v>
      </c>
      <c r="E12" s="318">
        <f>D12/$D$37</f>
        <v>4.2098658760100952E-2</v>
      </c>
      <c r="F12" s="311"/>
      <c r="G12" s="311"/>
      <c r="H12" s="319" t="s">
        <v>398</v>
      </c>
      <c r="I12" s="320">
        <f>+MapaII!C9</f>
        <v>3516080</v>
      </c>
      <c r="J12" s="318">
        <f>+I12/$I$37</f>
        <v>7.2960244147477048E-3</v>
      </c>
      <c r="L12" s="306"/>
      <c r="M12" s="514" t="s">
        <v>427</v>
      </c>
      <c r="N12" t="s">
        <v>428</v>
      </c>
      <c r="O12"/>
    </row>
    <row r="13" spans="1:34" ht="14.25" customHeight="1" x14ac:dyDescent="0.25">
      <c r="A13" s="71"/>
      <c r="B13" s="71"/>
      <c r="C13" s="316" t="s">
        <v>819</v>
      </c>
      <c r="D13" s="320">
        <v>0</v>
      </c>
      <c r="E13" s="318">
        <f>D13/$D$37</f>
        <v>0</v>
      </c>
      <c r="F13" s="311"/>
      <c r="G13" s="311"/>
      <c r="H13" s="319" t="s">
        <v>399</v>
      </c>
      <c r="I13" s="320">
        <f>+MapaII!D9</f>
        <v>10645444</v>
      </c>
      <c r="J13" s="318">
        <f t="shared" ref="J13:J36" si="0">+I13/$I$37</f>
        <v>2.2089775923707498E-2</v>
      </c>
      <c r="L13" s="306"/>
      <c r="M13" t="s">
        <v>405</v>
      </c>
      <c r="N13" s="615">
        <v>3500000</v>
      </c>
      <c r="O13"/>
    </row>
    <row r="14" spans="1:34" ht="14.25" customHeight="1" x14ac:dyDescent="0.25">
      <c r="A14" s="71"/>
      <c r="B14" s="71"/>
      <c r="C14" s="316" t="s">
        <v>574</v>
      </c>
      <c r="D14" s="317">
        <v>308425108</v>
      </c>
      <c r="E14" s="318">
        <f>D14/$D$37</f>
        <v>0.706627666652478</v>
      </c>
      <c r="F14" s="311"/>
      <c r="G14" s="311"/>
      <c r="H14" s="319" t="s">
        <v>400</v>
      </c>
      <c r="I14" s="320">
        <f>+MapaII!E9</f>
        <v>84074007</v>
      </c>
      <c r="J14" s="318">
        <f t="shared" si="0"/>
        <v>0.1744573524259031</v>
      </c>
      <c r="L14" s="306"/>
      <c r="M14" t="s">
        <v>403</v>
      </c>
      <c r="N14" s="615">
        <v>5500000</v>
      </c>
      <c r="O14"/>
    </row>
    <row r="15" spans="1:34" ht="14.25" customHeight="1" x14ac:dyDescent="0.25">
      <c r="A15" s="71"/>
      <c r="B15" s="71"/>
      <c r="C15" s="316" t="s">
        <v>820</v>
      </c>
      <c r="D15" s="320">
        <v>35241264</v>
      </c>
      <c r="E15" s="318">
        <f>D15/$D$37</f>
        <v>8.0740677410102338E-2</v>
      </c>
      <c r="F15" s="311"/>
      <c r="G15" s="311"/>
      <c r="H15" s="319" t="s">
        <v>401</v>
      </c>
      <c r="I15" s="320">
        <f>+MapaII!F9-GETPIVOTDATA("valor",$M$11,"cc","Dir.Ambiente e Saneamento ")</f>
        <v>16410508</v>
      </c>
      <c r="J15" s="318">
        <f t="shared" si="0"/>
        <v>3.4052543464998669E-2</v>
      </c>
      <c r="L15" s="306"/>
      <c r="M15" t="s">
        <v>402</v>
      </c>
      <c r="N15" s="615">
        <v>150000</v>
      </c>
      <c r="O15"/>
    </row>
    <row r="16" spans="1:34" ht="14.25" customHeight="1" x14ac:dyDescent="0.25">
      <c r="A16" s="71"/>
      <c r="B16" s="71"/>
      <c r="C16" s="316" t="s">
        <v>665</v>
      </c>
      <c r="D16" s="317">
        <v>74433341</v>
      </c>
      <c r="E16" s="318">
        <f>D16/$D$37</f>
        <v>0.17053299717731873</v>
      </c>
      <c r="F16" s="311"/>
      <c r="G16" s="311"/>
      <c r="H16" s="319" t="s">
        <v>402</v>
      </c>
      <c r="I16" s="320">
        <f>+MapaII!G9-GETPIVOTDATA("valor",$M$11,"cc","Dir. Proteção Civil")</f>
        <v>1980000</v>
      </c>
      <c r="J16" s="318">
        <f t="shared" si="0"/>
        <v>4.1085892076404562E-3</v>
      </c>
      <c r="L16" s="306"/>
      <c r="M16" t="s">
        <v>406</v>
      </c>
      <c r="N16" s="615">
        <v>3700000</v>
      </c>
      <c r="O16"/>
    </row>
    <row r="17" spans="1:15" ht="14.25" customHeight="1" x14ac:dyDescent="0.25">
      <c r="A17" s="71"/>
      <c r="B17" s="71"/>
      <c r="C17" s="662"/>
      <c r="D17" s="663"/>
      <c r="E17" s="664"/>
      <c r="F17" s="311"/>
      <c r="G17" s="311"/>
      <c r="H17" s="319" t="s">
        <v>403</v>
      </c>
      <c r="I17" s="320">
        <f>+MapaII!H9-GETPIVOTDATA("valor",$M$11,"cc","Dir. Juventude e Cultura ")</f>
        <v>0</v>
      </c>
      <c r="J17" s="318">
        <f t="shared" si="0"/>
        <v>0</v>
      </c>
      <c r="L17" s="306"/>
      <c r="M17" t="s">
        <v>401</v>
      </c>
      <c r="N17" s="615">
        <v>2100000</v>
      </c>
      <c r="O17"/>
    </row>
    <row r="18" spans="1:15" ht="14.25" customHeight="1" x14ac:dyDescent="0.25">
      <c r="A18" s="71"/>
      <c r="B18" s="71"/>
      <c r="C18" s="665"/>
      <c r="D18" s="666"/>
      <c r="E18" s="667"/>
      <c r="F18" s="311"/>
      <c r="G18" s="311"/>
      <c r="H18" s="319" t="s">
        <v>404</v>
      </c>
      <c r="I18" s="320">
        <f>+MapaII!I9-GETPIVOTDATA("valor",$M$11,"cc","Direção de Inovação e Desporto")</f>
        <v>4078080</v>
      </c>
      <c r="J18" s="318">
        <f t="shared" si="0"/>
        <v>8.4621997353001976E-3</v>
      </c>
      <c r="L18" s="306"/>
      <c r="M18" t="s">
        <v>408</v>
      </c>
      <c r="N18" s="615">
        <v>10120000</v>
      </c>
      <c r="O18"/>
    </row>
    <row r="19" spans="1:15" ht="15.75" x14ac:dyDescent="0.25">
      <c r="A19" s="71"/>
      <c r="B19" s="71"/>
      <c r="C19" s="665"/>
      <c r="D19" s="666"/>
      <c r="E19" s="667"/>
      <c r="F19" s="311"/>
      <c r="G19" s="311"/>
      <c r="H19" s="319" t="s">
        <v>405</v>
      </c>
      <c r="I19" s="320">
        <f>+MapaII!J9-GETPIVOTDATA("valor",$M$11,"cc","Dir. do Comércio, Indústria, Transporte Feiras e Pesca")</f>
        <v>2095984</v>
      </c>
      <c r="J19" s="318">
        <f t="shared" si="0"/>
        <v>4.3492612332257947E-3</v>
      </c>
      <c r="L19" s="306"/>
      <c r="M19" t="s">
        <v>409</v>
      </c>
      <c r="N19" s="615">
        <v>20500000</v>
      </c>
      <c r="O19"/>
    </row>
    <row r="20" spans="1:15" ht="15.75" x14ac:dyDescent="0.25">
      <c r="A20" s="71"/>
      <c r="B20" s="71"/>
      <c r="C20" s="665"/>
      <c r="D20" s="666"/>
      <c r="E20" s="667"/>
      <c r="F20" s="311"/>
      <c r="G20" s="311"/>
      <c r="H20" s="319" t="s">
        <v>406</v>
      </c>
      <c r="I20" s="513">
        <f>+MapaII!K9-GETPIVOTDATA("valor",$M$11,"cc","Dir. Turismo, Investimento e Emprendedorismo")</f>
        <v>1357120</v>
      </c>
      <c r="J20" s="318">
        <f t="shared" si="0"/>
        <v>2.8160851441782907E-3</v>
      </c>
      <c r="L20" s="306"/>
      <c r="M20" t="s">
        <v>404</v>
      </c>
      <c r="N20" s="615">
        <v>6500000</v>
      </c>
      <c r="O20"/>
    </row>
    <row r="21" spans="1:15" ht="15.75" x14ac:dyDescent="0.25">
      <c r="A21" s="71"/>
      <c r="B21" s="71"/>
      <c r="C21" s="665"/>
      <c r="D21" s="666"/>
      <c r="E21" s="667"/>
      <c r="F21" s="311"/>
      <c r="G21" s="311"/>
      <c r="H21" s="319" t="s">
        <v>407</v>
      </c>
      <c r="I21" s="320">
        <f>+MapaII!L9</f>
        <v>3932520</v>
      </c>
      <c r="J21" s="318">
        <f t="shared" si="0"/>
        <v>8.1601561771869925E-3</v>
      </c>
      <c r="L21" s="306"/>
      <c r="M21" t="s">
        <v>420</v>
      </c>
      <c r="N21" s="615">
        <v>222850000</v>
      </c>
      <c r="O21"/>
    </row>
    <row r="22" spans="1:15" ht="15.75" x14ac:dyDescent="0.25">
      <c r="A22" s="71"/>
      <c r="B22" s="71"/>
      <c r="C22" s="665"/>
      <c r="D22" s="666"/>
      <c r="E22" s="667"/>
      <c r="F22" s="311"/>
      <c r="G22" s="311"/>
      <c r="H22" s="319" t="s">
        <v>408</v>
      </c>
      <c r="I22" s="320">
        <f>+MapaII!M9-GETPIVOTDATA("valor",$M$11,"cc","Direção da Educação, Formação Profissional, Emprego")</f>
        <v>13174000</v>
      </c>
      <c r="J22" s="318">
        <f t="shared" si="0"/>
        <v>2.733664354618958E-2</v>
      </c>
      <c r="L22" s="306"/>
      <c r="M22" t="s">
        <v>7</v>
      </c>
      <c r="N22" s="615">
        <v>274920000</v>
      </c>
      <c r="O22"/>
    </row>
    <row r="23" spans="1:15" ht="15.75" x14ac:dyDescent="0.25">
      <c r="A23" s="71"/>
      <c r="B23" s="71"/>
      <c r="C23" s="665"/>
      <c r="D23" s="666"/>
      <c r="E23" s="667"/>
      <c r="F23" s="311"/>
      <c r="G23" s="311"/>
      <c r="H23" s="319" t="s">
        <v>409</v>
      </c>
      <c r="I23" s="320">
        <f>+MapaII!N9-GETPIVOTDATA("valor",$M$11,"cc","Direcao da Familia, Inclusão, Genero e Saúde")</f>
        <v>6664000</v>
      </c>
      <c r="J23" s="318">
        <f t="shared" si="0"/>
        <v>1.3828100242280808E-2</v>
      </c>
      <c r="L23" s="306"/>
      <c r="M23"/>
      <c r="N23"/>
      <c r="O23"/>
    </row>
    <row r="24" spans="1:15" ht="15.75" x14ac:dyDescent="0.25">
      <c r="A24" s="71"/>
      <c r="B24" s="71"/>
      <c r="C24" s="665"/>
      <c r="D24" s="666"/>
      <c r="E24" s="667"/>
      <c r="F24" s="311"/>
      <c r="G24" s="311"/>
      <c r="H24" s="319" t="s">
        <v>410</v>
      </c>
      <c r="I24" s="513">
        <f>+MapaII!O9</f>
        <v>25975680</v>
      </c>
      <c r="J24" s="318">
        <f t="shared" si="0"/>
        <v>5.3900706317738405E-2</v>
      </c>
      <c r="L24" s="306"/>
      <c r="M24"/>
      <c r="N24"/>
      <c r="O24"/>
    </row>
    <row r="25" spans="1:15" ht="15.75" x14ac:dyDescent="0.25">
      <c r="A25" s="71"/>
      <c r="B25" s="71"/>
      <c r="C25" s="665"/>
      <c r="D25" s="666"/>
      <c r="E25" s="667"/>
      <c r="F25" s="311"/>
      <c r="G25" s="311"/>
      <c r="H25" s="319" t="s">
        <v>411</v>
      </c>
      <c r="I25" s="320"/>
      <c r="J25" s="318">
        <f t="shared" si="0"/>
        <v>0</v>
      </c>
      <c r="L25" s="306"/>
      <c r="M25"/>
      <c r="N25"/>
      <c r="O25"/>
    </row>
    <row r="26" spans="1:15" ht="15.75" x14ac:dyDescent="0.25">
      <c r="A26" s="71"/>
      <c r="B26" s="71"/>
      <c r="C26" s="665"/>
      <c r="D26" s="666"/>
      <c r="E26" s="667"/>
      <c r="F26" s="311"/>
      <c r="G26" s="311"/>
      <c r="H26" s="319" t="s">
        <v>412</v>
      </c>
      <c r="I26" s="320">
        <f>+MapaII!Q9</f>
        <v>2726256</v>
      </c>
      <c r="J26" s="318">
        <f t="shared" si="0"/>
        <v>5.657104029729818E-3</v>
      </c>
      <c r="L26" s="306"/>
      <c r="M26"/>
      <c r="N26"/>
      <c r="O26"/>
    </row>
    <row r="27" spans="1:15" ht="15.75" x14ac:dyDescent="0.25">
      <c r="A27" s="71"/>
      <c r="B27" s="71"/>
      <c r="C27" s="665"/>
      <c r="D27" s="666"/>
      <c r="E27" s="667"/>
      <c r="F27" s="311"/>
      <c r="G27" s="311"/>
      <c r="H27" s="319" t="s">
        <v>413</v>
      </c>
      <c r="I27" s="513">
        <f>+MapaII!R9</f>
        <v>2694000</v>
      </c>
      <c r="J27" s="318">
        <f t="shared" si="0"/>
        <v>5.5901713764562573E-3</v>
      </c>
      <c r="L27" s="306"/>
      <c r="M27"/>
      <c r="N27"/>
      <c r="O27"/>
    </row>
    <row r="28" spans="1:15" ht="15.75" x14ac:dyDescent="0.25">
      <c r="A28" s="71"/>
      <c r="B28" s="71"/>
      <c r="C28" s="665"/>
      <c r="D28" s="666"/>
      <c r="E28" s="667"/>
      <c r="F28" s="311"/>
      <c r="G28" s="311"/>
      <c r="H28" s="319" t="s">
        <v>414</v>
      </c>
      <c r="I28" s="320">
        <f>+MapaII!S9</f>
        <v>841840</v>
      </c>
      <c r="J28" s="318">
        <f t="shared" si="0"/>
        <v>1.7468559285656775E-3</v>
      </c>
      <c r="L28" s="306"/>
      <c r="M28"/>
      <c r="N28"/>
      <c r="O28"/>
    </row>
    <row r="29" spans="1:15" ht="14.25" customHeight="1" x14ac:dyDescent="0.25">
      <c r="A29" s="71"/>
      <c r="B29" s="71"/>
      <c r="C29" s="665"/>
      <c r="D29" s="666"/>
      <c r="E29" s="667"/>
      <c r="F29" s="311"/>
      <c r="G29" s="311"/>
      <c r="H29" s="319" t="s">
        <v>415</v>
      </c>
      <c r="I29" s="320">
        <f>+MapaII!T9</f>
        <v>1016840</v>
      </c>
      <c r="J29" s="318">
        <f t="shared" si="0"/>
        <v>2.1099888130793544E-3</v>
      </c>
      <c r="L29" s="306"/>
      <c r="M29"/>
      <c r="N29"/>
      <c r="O29"/>
    </row>
    <row r="30" spans="1:15" ht="15.75" x14ac:dyDescent="0.25">
      <c r="A30" s="71"/>
      <c r="B30" s="71"/>
      <c r="C30" s="665"/>
      <c r="D30" s="666"/>
      <c r="E30" s="667"/>
      <c r="F30" s="311"/>
      <c r="G30" s="311"/>
      <c r="H30" s="319" t="s">
        <v>416</v>
      </c>
      <c r="I30" s="320">
        <f>+MapaII!U9</f>
        <v>5104144</v>
      </c>
      <c r="J30" s="318">
        <f t="shared" si="0"/>
        <v>1.0591328763961004E-2</v>
      </c>
      <c r="L30" s="306"/>
      <c r="M30"/>
      <c r="N30"/>
      <c r="O30"/>
    </row>
    <row r="31" spans="1:15" ht="15.75" x14ac:dyDescent="0.25">
      <c r="A31" s="71"/>
      <c r="B31" s="71"/>
      <c r="C31" s="665"/>
      <c r="D31" s="666"/>
      <c r="E31" s="667"/>
      <c r="F31" s="311"/>
      <c r="G31" s="311"/>
      <c r="H31" s="319" t="s">
        <v>417</v>
      </c>
      <c r="I31" s="320">
        <f>+MapaII!V9</f>
        <v>2488784</v>
      </c>
      <c r="J31" s="318">
        <f t="shared" si="0"/>
        <v>5.1643389305799214E-3</v>
      </c>
      <c r="L31" s="306"/>
      <c r="M31"/>
      <c r="N31"/>
      <c r="O31"/>
    </row>
    <row r="32" spans="1:15" ht="15.75" x14ac:dyDescent="0.25">
      <c r="A32" s="71"/>
      <c r="B32" s="71"/>
      <c r="C32" s="665"/>
      <c r="D32" s="666"/>
      <c r="E32" s="667"/>
      <c r="F32" s="311"/>
      <c r="G32" s="311"/>
      <c r="H32" s="319" t="s">
        <v>418</v>
      </c>
      <c r="I32" s="320">
        <f>+MapaII!W9</f>
        <v>0</v>
      </c>
      <c r="J32" s="318">
        <f t="shared" si="0"/>
        <v>0</v>
      </c>
      <c r="L32" s="306"/>
      <c r="M32"/>
      <c r="N32"/>
      <c r="O32"/>
    </row>
    <row r="33" spans="1:15" ht="15.75" x14ac:dyDescent="0.25">
      <c r="A33" s="71"/>
      <c r="B33" s="71"/>
      <c r="C33" s="665"/>
      <c r="D33" s="666"/>
      <c r="E33" s="667"/>
      <c r="F33" s="311"/>
      <c r="G33" s="311"/>
      <c r="H33" s="319" t="s">
        <v>419</v>
      </c>
      <c r="I33" s="320">
        <f>+MapaII!X9</f>
        <v>3650520</v>
      </c>
      <c r="J33" s="318">
        <f t="shared" si="0"/>
        <v>7.5749934718563824E-3</v>
      </c>
      <c r="L33" s="306"/>
      <c r="M33"/>
      <c r="N33"/>
      <c r="O33"/>
    </row>
    <row r="34" spans="1:15" ht="15.75" x14ac:dyDescent="0.25">
      <c r="A34" s="71"/>
      <c r="B34" s="71"/>
      <c r="C34" s="665"/>
      <c r="D34" s="666"/>
      <c r="E34" s="667"/>
      <c r="F34" s="311"/>
      <c r="G34" s="311"/>
      <c r="H34" s="319" t="s">
        <v>420</v>
      </c>
      <c r="I34" s="320">
        <f>+MapaII!Y9-GETPIVOTDATA("valor",$M$11,"cc","Direção de Obras")</f>
        <v>10899680</v>
      </c>
      <c r="J34" s="318">
        <f t="shared" si="0"/>
        <v>2.2617327078148751E-2</v>
      </c>
      <c r="L34" s="306"/>
      <c r="M34"/>
      <c r="N34"/>
      <c r="O34"/>
    </row>
    <row r="35" spans="1:15" ht="15.75" x14ac:dyDescent="0.25">
      <c r="A35" s="71"/>
      <c r="B35" s="71"/>
      <c r="C35" s="665"/>
      <c r="D35" s="666"/>
      <c r="E35" s="667"/>
      <c r="F35" s="311"/>
      <c r="G35" s="311"/>
      <c r="H35" s="319" t="s">
        <v>421</v>
      </c>
      <c r="I35" s="320">
        <f>+MapaII!Z9</f>
        <v>3671760</v>
      </c>
      <c r="J35" s="318">
        <f t="shared" si="0"/>
        <v>7.6190674288110711E-3</v>
      </c>
      <c r="L35" s="306"/>
      <c r="M35"/>
      <c r="N35"/>
      <c r="O35"/>
    </row>
    <row r="36" spans="1:15" ht="14.25" customHeight="1" thickBot="1" x14ac:dyDescent="0.3">
      <c r="A36" s="71"/>
      <c r="B36" s="71"/>
      <c r="C36" s="665"/>
      <c r="D36" s="666"/>
      <c r="E36" s="667"/>
      <c r="F36" s="311"/>
      <c r="G36" s="311"/>
      <c r="H36" s="319" t="s">
        <v>821</v>
      </c>
      <c r="I36" s="320">
        <f>+MapaX!I14</f>
        <v>274920000</v>
      </c>
      <c r="J36" s="318">
        <f t="shared" si="0"/>
        <v>0.57047138634571426</v>
      </c>
      <c r="L36" s="306"/>
      <c r="M36"/>
      <c r="N36"/>
      <c r="O36"/>
    </row>
    <row r="37" spans="1:15" ht="14.25" customHeight="1" thickBot="1" x14ac:dyDescent="0.3">
      <c r="A37" s="321"/>
      <c r="B37" s="321"/>
      <c r="C37" s="322" t="s">
        <v>822</v>
      </c>
      <c r="D37" s="323">
        <f>SUM(D12:D16)</f>
        <v>436474713</v>
      </c>
      <c r="E37" s="324">
        <f>D37/D37</f>
        <v>1</v>
      </c>
      <c r="F37" s="325"/>
      <c r="G37" s="311"/>
      <c r="H37" s="322" t="s">
        <v>823</v>
      </c>
      <c r="I37" s="326">
        <f>SUM(I12:I36)</f>
        <v>481917247</v>
      </c>
      <c r="J37" s="327">
        <f>+I37/I37</f>
        <v>1</v>
      </c>
      <c r="L37" s="306"/>
      <c r="M37"/>
      <c r="N37"/>
      <c r="O37"/>
    </row>
    <row r="38" spans="1:15" ht="14.25" customHeight="1" x14ac:dyDescent="0.25">
      <c r="A38" s="321"/>
      <c r="B38" s="321"/>
      <c r="C38" s="328"/>
      <c r="D38" s="16"/>
      <c r="E38" s="16"/>
      <c r="F38" s="16"/>
      <c r="G38" s="16"/>
      <c r="H38" s="16"/>
      <c r="I38" s="16"/>
      <c r="J38" s="16"/>
      <c r="M38"/>
      <c r="N38"/>
      <c r="O38"/>
    </row>
    <row r="39" spans="1:15" ht="14.25" customHeight="1" x14ac:dyDescent="0.25">
      <c r="G39" s="16"/>
      <c r="H39" s="16"/>
      <c r="I39" s="303"/>
      <c r="J39" s="303"/>
      <c r="M39"/>
      <c r="N39"/>
      <c r="O39"/>
    </row>
    <row r="40" spans="1:15" ht="15.75" x14ac:dyDescent="0.25">
      <c r="C40" s="330" t="s">
        <v>1153</v>
      </c>
      <c r="D40" s="330"/>
      <c r="E40" s="330"/>
      <c r="F40" s="330"/>
      <c r="G40" s="330"/>
      <c r="H40" s="330"/>
      <c r="I40" s="330"/>
      <c r="J40" s="330"/>
      <c r="K40" s="330"/>
      <c r="L40" s="330"/>
      <c r="M40"/>
      <c r="N40"/>
      <c r="O40"/>
    </row>
    <row r="41" spans="1:15" ht="15.75" x14ac:dyDescent="0.25">
      <c r="C41" s="86"/>
      <c r="D41" s="224"/>
      <c r="E41" s="330"/>
      <c r="F41" s="330"/>
      <c r="G41" s="330"/>
      <c r="H41" s="330"/>
      <c r="I41" s="330"/>
      <c r="J41" s="330"/>
      <c r="K41" s="330"/>
      <c r="L41" s="330"/>
      <c r="M41"/>
      <c r="N41"/>
      <c r="O41"/>
    </row>
    <row r="42" spans="1:15" ht="15.75" x14ac:dyDescent="0.25">
      <c r="C42" s="331" t="s">
        <v>376</v>
      </c>
      <c r="D42" s="331"/>
      <c r="E42" s="331"/>
      <c r="F42" s="331"/>
      <c r="G42" s="331"/>
      <c r="H42" s="331"/>
      <c r="I42" s="331"/>
      <c r="J42" s="331"/>
      <c r="K42" s="331"/>
      <c r="L42" s="331"/>
      <c r="M42"/>
      <c r="N42"/>
      <c r="O42"/>
    </row>
    <row r="43" spans="1:15" ht="15" x14ac:dyDescent="0.25">
      <c r="C43" s="87"/>
      <c r="D43" s="332"/>
      <c r="E43" s="88"/>
      <c r="F43" s="88"/>
      <c r="G43" s="88"/>
      <c r="H43" s="88"/>
      <c r="I43" s="88"/>
      <c r="J43" s="88"/>
      <c r="K43" s="88"/>
      <c r="L43" s="88"/>
    </row>
    <row r="44" spans="1:15" ht="15" x14ac:dyDescent="0.25">
      <c r="C44" s="87" t="s">
        <v>377</v>
      </c>
      <c r="D44" s="87"/>
      <c r="E44" s="87"/>
      <c r="F44" s="87"/>
      <c r="G44" s="87"/>
      <c r="H44" s="87"/>
      <c r="I44" s="87"/>
      <c r="J44" s="87"/>
      <c r="K44" s="87"/>
      <c r="L44" s="87"/>
    </row>
    <row r="45" spans="1:15" ht="15.75" x14ac:dyDescent="0.25">
      <c r="C45" s="271" t="s">
        <v>378</v>
      </c>
      <c r="D45" s="271"/>
      <c r="E45" s="271"/>
      <c r="F45" s="271"/>
      <c r="G45" s="271"/>
      <c r="H45" s="271"/>
      <c r="I45" s="271"/>
      <c r="J45" s="271"/>
      <c r="K45" s="271"/>
      <c r="L45" s="271"/>
    </row>
    <row r="46" spans="1:15" ht="15.75" x14ac:dyDescent="0.25">
      <c r="C46" s="271"/>
      <c r="D46" s="271"/>
      <c r="E46" s="271"/>
      <c r="F46" s="271"/>
      <c r="G46" s="271"/>
      <c r="H46" s="271"/>
      <c r="I46" s="271"/>
      <c r="J46" s="271"/>
      <c r="K46" s="271"/>
      <c r="L46" s="271"/>
    </row>
    <row r="47" spans="1:15" ht="14.25" customHeight="1" x14ac:dyDescent="0.25">
      <c r="G47" s="16"/>
      <c r="H47" s="16"/>
      <c r="I47" s="303"/>
      <c r="J47" s="303"/>
    </row>
    <row r="48" spans="1:15" ht="14.25" customHeight="1" x14ac:dyDescent="0.25">
      <c r="G48" s="16"/>
      <c r="H48" s="16"/>
      <c r="I48" s="303"/>
      <c r="J48" s="303"/>
    </row>
    <row r="49" spans="7:10" ht="14.25" customHeight="1" x14ac:dyDescent="0.25">
      <c r="G49" s="16"/>
      <c r="H49" s="16"/>
      <c r="I49" s="303"/>
      <c r="J49" s="303"/>
    </row>
    <row r="50" spans="7:10" ht="14.25" customHeight="1" x14ac:dyDescent="0.25">
      <c r="G50" s="16"/>
      <c r="H50" s="16"/>
      <c r="I50" s="303"/>
      <c r="J50" s="303"/>
    </row>
    <row r="51" spans="7:10" ht="14.25" customHeight="1" x14ac:dyDescent="0.25">
      <c r="G51" s="16"/>
      <c r="H51" s="16"/>
      <c r="I51" s="303"/>
      <c r="J51" s="303"/>
    </row>
    <row r="52" spans="7:10" ht="14.25" customHeight="1" x14ac:dyDescent="0.25">
      <c r="G52" s="16"/>
      <c r="H52" s="16"/>
      <c r="I52" s="303"/>
      <c r="J52" s="303"/>
    </row>
    <row r="53" spans="7:10" ht="14.25" customHeight="1" x14ac:dyDescent="0.25">
      <c r="G53" s="16"/>
      <c r="H53" s="16"/>
      <c r="I53" s="303"/>
      <c r="J53" s="303"/>
    </row>
    <row r="54" spans="7:10" ht="14.25" customHeight="1" x14ac:dyDescent="0.25">
      <c r="G54" s="16"/>
      <c r="H54" s="16"/>
      <c r="I54" s="303"/>
      <c r="J54" s="303"/>
    </row>
    <row r="55" spans="7:10" ht="14.25" customHeight="1" x14ac:dyDescent="0.25">
      <c r="G55" s="16"/>
      <c r="H55" s="16"/>
      <c r="I55" s="303"/>
      <c r="J55" s="303"/>
    </row>
    <row r="56" spans="7:10" ht="14.25" customHeight="1" x14ac:dyDescent="0.25">
      <c r="G56" s="16"/>
      <c r="H56" s="16"/>
      <c r="I56" s="303"/>
      <c r="J56" s="303"/>
    </row>
    <row r="57" spans="7:10" ht="14.25" customHeight="1" x14ac:dyDescent="0.25">
      <c r="G57" s="16"/>
      <c r="H57" s="16"/>
      <c r="I57" s="303"/>
      <c r="J57" s="303"/>
    </row>
    <row r="58" spans="7:10" ht="14.25" customHeight="1" x14ac:dyDescent="0.25">
      <c r="G58" s="16"/>
      <c r="H58" s="16"/>
      <c r="I58" s="303"/>
      <c r="J58" s="303"/>
    </row>
    <row r="59" spans="7:10" ht="14.25" customHeight="1" x14ac:dyDescent="0.25">
      <c r="G59" s="16"/>
      <c r="H59" s="16"/>
      <c r="I59" s="303"/>
      <c r="J59" s="303"/>
    </row>
    <row r="60" spans="7:10" ht="14.25" customHeight="1" x14ac:dyDescent="0.25">
      <c r="G60" s="16"/>
      <c r="H60" s="16"/>
      <c r="I60" s="303"/>
      <c r="J60" s="303"/>
    </row>
    <row r="61" spans="7:10" ht="14.25" customHeight="1" x14ac:dyDescent="0.25">
      <c r="G61" s="16"/>
      <c r="H61" s="16"/>
      <c r="I61" s="303"/>
      <c r="J61" s="303"/>
    </row>
    <row r="62" spans="7:10" ht="14.25" customHeight="1" x14ac:dyDescent="0.25">
      <c r="G62" s="16"/>
      <c r="H62" s="16"/>
      <c r="I62" s="303"/>
      <c r="J62" s="303"/>
    </row>
    <row r="63" spans="7:10" ht="14.25" customHeight="1" x14ac:dyDescent="0.25">
      <c r="G63" s="16"/>
      <c r="H63" s="16"/>
      <c r="I63" s="303"/>
      <c r="J63" s="303"/>
    </row>
    <row r="64" spans="7:10" ht="14.25" customHeight="1" x14ac:dyDescent="0.25">
      <c r="G64" s="16"/>
      <c r="H64" s="16"/>
      <c r="I64" s="303"/>
      <c r="J64" s="303"/>
    </row>
    <row r="65" spans="7:10" ht="14.25" customHeight="1" x14ac:dyDescent="0.25">
      <c r="G65" s="16"/>
      <c r="H65" s="16"/>
      <c r="I65" s="303"/>
      <c r="J65" s="303"/>
    </row>
    <row r="66" spans="7:10" ht="14.25" customHeight="1" x14ac:dyDescent="0.25">
      <c r="G66" s="16"/>
      <c r="H66" s="16"/>
      <c r="I66" s="303"/>
      <c r="J66" s="303"/>
    </row>
    <row r="67" spans="7:10" ht="14.25" customHeight="1" x14ac:dyDescent="0.25">
      <c r="G67" s="16"/>
      <c r="H67" s="16"/>
      <c r="I67" s="303"/>
      <c r="J67" s="303"/>
    </row>
    <row r="68" spans="7:10" ht="14.25" customHeight="1" x14ac:dyDescent="0.25">
      <c r="G68" s="16"/>
      <c r="H68" s="16"/>
      <c r="I68" s="303"/>
      <c r="J68" s="303"/>
    </row>
    <row r="69" spans="7:10" ht="14.25" customHeight="1" x14ac:dyDescent="0.25">
      <c r="G69" s="16"/>
      <c r="H69" s="16"/>
      <c r="I69" s="303"/>
      <c r="J69" s="303"/>
    </row>
    <row r="70" spans="7:10" ht="14.25" customHeight="1" x14ac:dyDescent="0.25">
      <c r="G70" s="16"/>
      <c r="H70" s="16"/>
      <c r="I70" s="303"/>
      <c r="J70" s="303"/>
    </row>
    <row r="71" spans="7:10" ht="14.25" customHeight="1" x14ac:dyDescent="0.25">
      <c r="G71" s="16"/>
      <c r="H71" s="16"/>
      <c r="I71" s="303"/>
      <c r="J71" s="303"/>
    </row>
    <row r="72" spans="7:10" ht="14.25" customHeight="1" x14ac:dyDescent="0.25">
      <c r="G72" s="16"/>
      <c r="H72" s="16"/>
      <c r="I72" s="303"/>
      <c r="J72" s="303"/>
    </row>
    <row r="73" spans="7:10" ht="14.25" customHeight="1" x14ac:dyDescent="0.25">
      <c r="G73" s="16"/>
      <c r="H73" s="16"/>
      <c r="I73" s="303"/>
      <c r="J73" s="303"/>
    </row>
    <row r="74" spans="7:10" ht="14.25" customHeight="1" x14ac:dyDescent="0.25">
      <c r="G74" s="16"/>
      <c r="H74" s="16"/>
      <c r="I74" s="303"/>
      <c r="J74" s="303"/>
    </row>
    <row r="75" spans="7:10" ht="14.25" customHeight="1" x14ac:dyDescent="0.25">
      <c r="G75" s="16"/>
      <c r="H75" s="16"/>
      <c r="I75" s="303"/>
      <c r="J75" s="303"/>
    </row>
    <row r="76" spans="7:10" ht="14.25" customHeight="1" x14ac:dyDescent="0.25">
      <c r="G76" s="16"/>
      <c r="H76" s="16"/>
      <c r="I76" s="303"/>
      <c r="J76" s="303"/>
    </row>
    <row r="77" spans="7:10" ht="14.25" customHeight="1" x14ac:dyDescent="0.25">
      <c r="G77" s="16"/>
      <c r="H77" s="16"/>
      <c r="I77" s="303"/>
      <c r="J77" s="303"/>
    </row>
    <row r="78" spans="7:10" ht="14.25" customHeight="1" x14ac:dyDescent="0.25">
      <c r="G78" s="16"/>
      <c r="H78" s="16"/>
      <c r="I78" s="303"/>
      <c r="J78" s="303"/>
    </row>
    <row r="79" spans="7:10" ht="14.25" customHeight="1" x14ac:dyDescent="0.25">
      <c r="G79" s="16"/>
      <c r="H79" s="16"/>
      <c r="I79" s="303"/>
      <c r="J79" s="303"/>
    </row>
    <row r="80" spans="7:10" ht="14.25" customHeight="1" x14ac:dyDescent="0.25">
      <c r="G80" s="16"/>
      <c r="H80" s="16"/>
      <c r="I80" s="303"/>
      <c r="J80" s="303"/>
    </row>
    <row r="81" spans="7:10" ht="14.25" customHeight="1" x14ac:dyDescent="0.25">
      <c r="G81" s="16"/>
      <c r="H81" s="16"/>
      <c r="I81" s="303"/>
      <c r="J81" s="303"/>
    </row>
    <row r="82" spans="7:10" ht="14.25" customHeight="1" x14ac:dyDescent="0.25">
      <c r="G82" s="16"/>
      <c r="H82" s="16"/>
      <c r="I82" s="303"/>
      <c r="J82" s="303"/>
    </row>
    <row r="83" spans="7:10" ht="14.25" customHeight="1" x14ac:dyDescent="0.25">
      <c r="G83" s="16"/>
      <c r="H83" s="16"/>
      <c r="I83" s="303"/>
      <c r="J83" s="303"/>
    </row>
    <row r="84" spans="7:10" ht="14.25" customHeight="1" x14ac:dyDescent="0.25">
      <c r="G84" s="16"/>
      <c r="H84" s="16"/>
      <c r="I84" s="303"/>
      <c r="J84" s="303"/>
    </row>
    <row r="85" spans="7:10" ht="14.25" customHeight="1" x14ac:dyDescent="0.25">
      <c r="G85" s="16"/>
      <c r="H85" s="16"/>
      <c r="I85" s="303"/>
      <c r="J85" s="303"/>
    </row>
    <row r="86" spans="7:10" ht="14.25" customHeight="1" x14ac:dyDescent="0.25">
      <c r="G86" s="16"/>
      <c r="H86" s="16"/>
      <c r="I86" s="303"/>
      <c r="J86" s="303"/>
    </row>
    <row r="87" spans="7:10" ht="14.25" customHeight="1" x14ac:dyDescent="0.25">
      <c r="G87" s="16"/>
      <c r="H87" s="16"/>
      <c r="I87" s="303"/>
      <c r="J87" s="303"/>
    </row>
    <row r="88" spans="7:10" ht="14.25" customHeight="1" x14ac:dyDescent="0.25">
      <c r="G88" s="16"/>
      <c r="H88" s="16"/>
      <c r="I88" s="303"/>
      <c r="J88" s="303"/>
    </row>
    <row r="89" spans="7:10" ht="14.25" customHeight="1" x14ac:dyDescent="0.25">
      <c r="G89" s="16"/>
      <c r="H89" s="16"/>
      <c r="I89" s="303"/>
      <c r="J89" s="303"/>
    </row>
    <row r="90" spans="7:10" ht="14.25" customHeight="1" x14ac:dyDescent="0.25">
      <c r="G90" s="16"/>
      <c r="H90" s="16"/>
      <c r="I90" s="303"/>
      <c r="J90" s="303"/>
    </row>
    <row r="91" spans="7:10" ht="14.25" customHeight="1" x14ac:dyDescent="0.25">
      <c r="G91" s="16"/>
      <c r="H91" s="16"/>
      <c r="I91" s="303"/>
      <c r="J91" s="303"/>
    </row>
    <row r="92" spans="7:10" ht="14.25" customHeight="1" x14ac:dyDescent="0.25">
      <c r="G92" s="16"/>
      <c r="H92" s="16"/>
      <c r="I92" s="303"/>
      <c r="J92" s="303"/>
    </row>
    <row r="93" spans="7:10" ht="14.25" customHeight="1" x14ac:dyDescent="0.25">
      <c r="G93" s="16"/>
      <c r="H93" s="16"/>
      <c r="I93" s="303"/>
      <c r="J93" s="303"/>
    </row>
    <row r="94" spans="7:10" ht="14.25" customHeight="1" x14ac:dyDescent="0.25">
      <c r="G94" s="16"/>
      <c r="H94" s="16"/>
      <c r="I94" s="303"/>
      <c r="J94" s="303"/>
    </row>
    <row r="95" spans="7:10" ht="14.25" customHeight="1" x14ac:dyDescent="0.25">
      <c r="G95" s="16"/>
      <c r="H95" s="16"/>
      <c r="I95" s="303"/>
      <c r="J95" s="303"/>
    </row>
    <row r="96" spans="7:10" ht="14.25" customHeight="1" x14ac:dyDescent="0.25">
      <c r="G96" s="16"/>
      <c r="H96" s="16"/>
      <c r="I96" s="303"/>
      <c r="J96" s="303"/>
    </row>
    <row r="97" spans="7:10" ht="14.25" customHeight="1" x14ac:dyDescent="0.25">
      <c r="G97" s="16"/>
      <c r="H97" s="16"/>
      <c r="I97" s="303"/>
      <c r="J97" s="303"/>
    </row>
    <row r="98" spans="7:10" ht="14.25" customHeight="1" x14ac:dyDescent="0.25">
      <c r="G98" s="16"/>
      <c r="H98" s="16"/>
      <c r="I98" s="303"/>
      <c r="J98" s="303"/>
    </row>
    <row r="99" spans="7:10" ht="14.25" customHeight="1" x14ac:dyDescent="0.25">
      <c r="G99" s="16"/>
      <c r="H99" s="16"/>
      <c r="I99" s="303"/>
      <c r="J99" s="303"/>
    </row>
    <row r="100" spans="7:10" ht="14.25" customHeight="1" x14ac:dyDescent="0.25">
      <c r="G100" s="16"/>
      <c r="H100" s="16"/>
      <c r="I100" s="303"/>
      <c r="J100" s="303"/>
    </row>
    <row r="101" spans="7:10" ht="14.25" customHeight="1" x14ac:dyDescent="0.25">
      <c r="G101" s="16"/>
      <c r="H101" s="16"/>
      <c r="I101" s="303"/>
      <c r="J101" s="303"/>
    </row>
    <row r="102" spans="7:10" ht="14.25" customHeight="1" x14ac:dyDescent="0.25">
      <c r="G102" s="16"/>
      <c r="H102" s="16"/>
      <c r="I102" s="303"/>
      <c r="J102" s="303"/>
    </row>
    <row r="103" spans="7:10" ht="14.25" customHeight="1" x14ac:dyDescent="0.25">
      <c r="G103" s="16"/>
      <c r="H103" s="16"/>
      <c r="I103" s="303"/>
      <c r="J103" s="303"/>
    </row>
    <row r="104" spans="7:10" ht="14.25" customHeight="1" x14ac:dyDescent="0.25">
      <c r="G104" s="16"/>
      <c r="H104" s="16"/>
      <c r="I104" s="303"/>
      <c r="J104" s="303"/>
    </row>
    <row r="105" spans="7:10" ht="14.25" customHeight="1" x14ac:dyDescent="0.25">
      <c r="G105" s="16"/>
      <c r="H105" s="16"/>
      <c r="I105" s="303"/>
      <c r="J105" s="303"/>
    </row>
    <row r="106" spans="7:10" ht="14.25" customHeight="1" x14ac:dyDescent="0.25">
      <c r="G106" s="16"/>
      <c r="H106" s="16"/>
      <c r="I106" s="303"/>
      <c r="J106" s="303"/>
    </row>
    <row r="107" spans="7:10" ht="14.25" customHeight="1" x14ac:dyDescent="0.25">
      <c r="G107" s="16"/>
      <c r="H107" s="16"/>
      <c r="I107" s="303"/>
      <c r="J107" s="303"/>
    </row>
    <row r="108" spans="7:10" ht="14.25" customHeight="1" x14ac:dyDescent="0.25">
      <c r="G108" s="16"/>
      <c r="H108" s="16"/>
      <c r="I108" s="303"/>
      <c r="J108" s="303"/>
    </row>
    <row r="109" spans="7:10" ht="14.25" customHeight="1" x14ac:dyDescent="0.25">
      <c r="G109" s="16"/>
      <c r="H109" s="16"/>
      <c r="I109" s="303"/>
      <c r="J109" s="303"/>
    </row>
    <row r="110" spans="7:10" ht="14.25" customHeight="1" x14ac:dyDescent="0.25">
      <c r="G110" s="16"/>
      <c r="H110" s="16"/>
      <c r="I110" s="303"/>
      <c r="J110" s="303"/>
    </row>
    <row r="111" spans="7:10" ht="14.25" customHeight="1" x14ac:dyDescent="0.25">
      <c r="G111" s="16"/>
      <c r="H111" s="16"/>
      <c r="I111" s="303"/>
      <c r="J111" s="303"/>
    </row>
    <row r="112" spans="7:10" ht="14.25" customHeight="1" x14ac:dyDescent="0.25">
      <c r="G112" s="16"/>
      <c r="H112" s="16"/>
      <c r="I112" s="303"/>
      <c r="J112" s="303"/>
    </row>
    <row r="113" spans="7:10" ht="14.25" customHeight="1" x14ac:dyDescent="0.25">
      <c r="G113" s="16"/>
      <c r="H113" s="16"/>
      <c r="I113" s="303"/>
      <c r="J113" s="303"/>
    </row>
    <row r="114" spans="7:10" ht="14.25" customHeight="1" x14ac:dyDescent="0.25">
      <c r="G114" s="16"/>
      <c r="H114" s="16"/>
      <c r="I114" s="303"/>
      <c r="J114" s="303"/>
    </row>
    <row r="115" spans="7:10" ht="14.25" customHeight="1" x14ac:dyDescent="0.25">
      <c r="G115" s="16"/>
      <c r="H115" s="16"/>
      <c r="I115" s="303"/>
      <c r="J115" s="303"/>
    </row>
    <row r="116" spans="7:10" ht="14.25" customHeight="1" x14ac:dyDescent="0.25">
      <c r="G116" s="16"/>
      <c r="H116" s="16"/>
      <c r="I116" s="303"/>
      <c r="J116" s="303"/>
    </row>
    <row r="117" spans="7:10" ht="14.25" customHeight="1" x14ac:dyDescent="0.25">
      <c r="G117" s="16"/>
      <c r="H117" s="16"/>
      <c r="I117" s="303"/>
      <c r="J117" s="303"/>
    </row>
    <row r="118" spans="7:10" ht="14.25" customHeight="1" x14ac:dyDescent="0.25">
      <c r="G118" s="16"/>
      <c r="H118" s="16"/>
      <c r="I118" s="303"/>
      <c r="J118" s="303"/>
    </row>
    <row r="119" spans="7:10" ht="14.25" customHeight="1" x14ac:dyDescent="0.25">
      <c r="G119" s="16"/>
      <c r="H119" s="16"/>
      <c r="I119" s="303"/>
      <c r="J119" s="303"/>
    </row>
    <row r="120" spans="7:10" ht="14.25" customHeight="1" x14ac:dyDescent="0.25">
      <c r="G120" s="16"/>
      <c r="H120" s="16"/>
      <c r="I120" s="303"/>
      <c r="J120" s="303"/>
    </row>
    <row r="121" spans="7:10" ht="14.25" customHeight="1" x14ac:dyDescent="0.25">
      <c r="G121" s="16"/>
      <c r="H121" s="16"/>
      <c r="I121" s="303"/>
      <c r="J121" s="303"/>
    </row>
    <row r="122" spans="7:10" ht="14.25" customHeight="1" x14ac:dyDescent="0.25">
      <c r="G122" s="16"/>
      <c r="H122" s="16"/>
      <c r="I122" s="303"/>
      <c r="J122" s="303"/>
    </row>
    <row r="123" spans="7:10" ht="14.25" customHeight="1" x14ac:dyDescent="0.25">
      <c r="G123" s="16"/>
      <c r="H123" s="16"/>
      <c r="I123" s="303"/>
      <c r="J123" s="303"/>
    </row>
    <row r="124" spans="7:10" ht="14.25" customHeight="1" x14ac:dyDescent="0.25">
      <c r="G124" s="16"/>
      <c r="H124" s="16"/>
      <c r="I124" s="303"/>
      <c r="J124" s="303"/>
    </row>
    <row r="125" spans="7:10" ht="14.25" customHeight="1" x14ac:dyDescent="0.25">
      <c r="G125" s="16"/>
      <c r="H125" s="16"/>
      <c r="I125" s="303"/>
      <c r="J125" s="303"/>
    </row>
    <row r="126" spans="7:10" ht="14.25" customHeight="1" x14ac:dyDescent="0.25">
      <c r="G126" s="16"/>
      <c r="H126" s="16"/>
      <c r="I126" s="303"/>
      <c r="J126" s="303"/>
    </row>
    <row r="127" spans="7:10" ht="14.25" customHeight="1" x14ac:dyDescent="0.25">
      <c r="G127" s="16"/>
      <c r="H127" s="16"/>
      <c r="I127" s="303"/>
      <c r="J127" s="303"/>
    </row>
    <row r="128" spans="7:10" ht="14.25" customHeight="1" x14ac:dyDescent="0.25">
      <c r="G128" s="16"/>
      <c r="H128" s="16"/>
      <c r="I128" s="303"/>
      <c r="J128" s="303"/>
    </row>
    <row r="129" spans="7:10" ht="14.25" customHeight="1" x14ac:dyDescent="0.25">
      <c r="G129" s="16"/>
      <c r="H129" s="16"/>
      <c r="I129" s="303"/>
      <c r="J129" s="303"/>
    </row>
    <row r="130" spans="7:10" ht="14.25" customHeight="1" x14ac:dyDescent="0.25">
      <c r="G130" s="16"/>
      <c r="H130" s="16"/>
      <c r="I130" s="303"/>
      <c r="J130" s="303"/>
    </row>
    <row r="131" spans="7:10" ht="14.25" customHeight="1" x14ac:dyDescent="0.25">
      <c r="G131" s="16"/>
      <c r="H131" s="16"/>
      <c r="I131" s="303"/>
      <c r="J131" s="303"/>
    </row>
    <row r="132" spans="7:10" ht="14.25" customHeight="1" x14ac:dyDescent="0.25">
      <c r="G132" s="16"/>
      <c r="H132" s="16"/>
      <c r="I132" s="303"/>
      <c r="J132" s="303"/>
    </row>
    <row r="133" spans="7:10" ht="14.25" customHeight="1" x14ac:dyDescent="0.25">
      <c r="G133" s="16"/>
      <c r="H133" s="16"/>
      <c r="I133" s="303"/>
      <c r="J133" s="303"/>
    </row>
    <row r="134" spans="7:10" ht="14.25" customHeight="1" x14ac:dyDescent="0.25">
      <c r="G134" s="16"/>
      <c r="H134" s="16"/>
      <c r="I134" s="303"/>
      <c r="J134" s="303"/>
    </row>
    <row r="135" spans="7:10" ht="14.25" customHeight="1" x14ac:dyDescent="0.25">
      <c r="G135" s="16"/>
      <c r="H135" s="16"/>
      <c r="I135" s="303"/>
      <c r="J135" s="303"/>
    </row>
    <row r="136" spans="7:10" ht="14.25" customHeight="1" x14ac:dyDescent="0.25">
      <c r="G136" s="16"/>
      <c r="H136" s="16"/>
      <c r="I136" s="303"/>
      <c r="J136" s="303"/>
    </row>
    <row r="137" spans="7:10" ht="14.25" customHeight="1" x14ac:dyDescent="0.25">
      <c r="G137" s="16"/>
      <c r="H137" s="16"/>
      <c r="I137" s="303"/>
      <c r="J137" s="303"/>
    </row>
    <row r="138" spans="7:10" ht="14.25" customHeight="1" x14ac:dyDescent="0.25">
      <c r="G138" s="16"/>
      <c r="H138" s="16"/>
      <c r="I138" s="303"/>
      <c r="J138" s="303"/>
    </row>
    <row r="139" spans="7:10" ht="14.25" customHeight="1" x14ac:dyDescent="0.25">
      <c r="G139" s="16"/>
      <c r="H139" s="16"/>
      <c r="I139" s="303"/>
      <c r="J139" s="303"/>
    </row>
    <row r="140" spans="7:10" ht="14.25" customHeight="1" x14ac:dyDescent="0.25">
      <c r="G140" s="16"/>
      <c r="H140" s="16"/>
      <c r="I140" s="303"/>
      <c r="J140" s="303"/>
    </row>
    <row r="141" spans="7:10" ht="14.25" customHeight="1" x14ac:dyDescent="0.25">
      <c r="G141" s="16"/>
      <c r="H141" s="16"/>
      <c r="I141" s="303"/>
      <c r="J141" s="303"/>
    </row>
    <row r="142" spans="7:10" ht="14.25" customHeight="1" x14ac:dyDescent="0.25">
      <c r="G142" s="16"/>
      <c r="H142" s="16"/>
      <c r="I142" s="303"/>
      <c r="J142" s="303"/>
    </row>
    <row r="143" spans="7:10" ht="14.25" customHeight="1" x14ac:dyDescent="0.25">
      <c r="G143" s="16"/>
      <c r="H143" s="16"/>
      <c r="I143" s="303"/>
      <c r="J143" s="303"/>
    </row>
    <row r="144" spans="7:10" ht="14.25" customHeight="1" x14ac:dyDescent="0.25">
      <c r="G144" s="16"/>
      <c r="H144" s="16"/>
      <c r="I144" s="303"/>
      <c r="J144" s="303"/>
    </row>
    <row r="145" spans="7:10" ht="14.25" customHeight="1" x14ac:dyDescent="0.25">
      <c r="G145" s="16"/>
      <c r="H145" s="16"/>
      <c r="I145" s="303"/>
      <c r="J145" s="303"/>
    </row>
    <row r="146" spans="7:10" ht="14.25" customHeight="1" x14ac:dyDescent="0.25">
      <c r="G146" s="16"/>
      <c r="H146" s="16"/>
      <c r="I146" s="303"/>
      <c r="J146" s="303"/>
    </row>
    <row r="147" spans="7:10" ht="14.25" customHeight="1" x14ac:dyDescent="0.25">
      <c r="G147" s="16"/>
      <c r="H147" s="16"/>
      <c r="I147" s="303"/>
      <c r="J147" s="303"/>
    </row>
    <row r="148" spans="7:10" ht="14.25" customHeight="1" x14ac:dyDescent="0.25">
      <c r="G148" s="16"/>
      <c r="H148" s="16"/>
      <c r="I148" s="303"/>
      <c r="J148" s="303"/>
    </row>
  </sheetData>
  <mergeCells count="4">
    <mergeCell ref="C5:L5"/>
    <mergeCell ref="C6:L6"/>
    <mergeCell ref="C7:J8"/>
    <mergeCell ref="C17:E36"/>
  </mergeCells>
  <printOptions horizontalCentered="1"/>
  <pageMargins left="0.62992125984251968" right="0.23622047244094491" top="0.35433070866141736" bottom="0.74803149606299213" header="0.31496062992125984" footer="0.31496062992125984"/>
  <pageSetup paperSize="9" scale="75" orientation="landscape" r:id="rId2"/>
  <rowBreaks count="1" manualBreakCount="1">
    <brk id="46" max="16383" man="1"/>
  </rowBreaks>
  <colBreaks count="1" manualBreakCount="1">
    <brk id="10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U59"/>
  <sheetViews>
    <sheetView zoomScale="110" zoomScaleNormal="110" workbookViewId="0">
      <selection activeCell="B30" sqref="B30"/>
    </sheetView>
  </sheetViews>
  <sheetFormatPr defaultRowHeight="15" x14ac:dyDescent="0.25"/>
  <cols>
    <col min="1" max="1" width="35.42578125" style="71" customWidth="1"/>
    <col min="2" max="2" width="30.28515625" style="71" customWidth="1"/>
    <col min="3" max="3" width="25.42578125" style="71" bestFit="1" customWidth="1"/>
    <col min="4" max="4" width="18.42578125" style="71" bestFit="1" customWidth="1"/>
    <col min="5" max="5" width="15.85546875" style="71" bestFit="1" customWidth="1"/>
    <col min="6" max="6" width="14.42578125" style="71" bestFit="1" customWidth="1"/>
    <col min="7" max="21" width="9.140625" style="71" customWidth="1"/>
    <col min="22" max="16384" width="9.140625" style="71"/>
  </cols>
  <sheetData>
    <row r="5" spans="1:21" x14ac:dyDescent="0.25">
      <c r="A5" s="678" t="s">
        <v>786</v>
      </c>
      <c r="B5" s="678"/>
      <c r="C5" s="678"/>
      <c r="D5" s="277"/>
      <c r="E5" s="277"/>
    </row>
    <row r="6" spans="1:21" x14ac:dyDescent="0.25">
      <c r="A6" s="678" t="s">
        <v>1125</v>
      </c>
      <c r="B6" s="678"/>
      <c r="C6" s="678"/>
    </row>
    <row r="7" spans="1:21" x14ac:dyDescent="0.25">
      <c r="A7" s="679" t="s">
        <v>787</v>
      </c>
      <c r="B7" s="679"/>
      <c r="C7" s="679"/>
      <c r="D7" s="680"/>
      <c r="E7" s="680"/>
    </row>
    <row r="8" spans="1:21" x14ac:dyDescent="0.25">
      <c r="A8" s="679"/>
      <c r="B8" s="679"/>
      <c r="C8" s="679"/>
      <c r="D8" s="680"/>
      <c r="E8" s="680"/>
    </row>
    <row r="9" spans="1:21" x14ac:dyDescent="0.25">
      <c r="A9" s="679"/>
      <c r="B9" s="679"/>
      <c r="C9" s="679"/>
      <c r="D9" s="680"/>
      <c r="E9" s="680"/>
    </row>
    <row r="10" spans="1:21" s="280" customFormat="1" x14ac:dyDescent="0.25">
      <c r="A10" s="278" t="s">
        <v>788</v>
      </c>
      <c r="B10" s="278" t="s">
        <v>789</v>
      </c>
      <c r="C10" s="278" t="s">
        <v>428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</row>
    <row r="11" spans="1:21" x14ac:dyDescent="0.25">
      <c r="A11" s="281" t="s">
        <v>790</v>
      </c>
      <c r="B11" s="282" t="s">
        <v>791</v>
      </c>
      <c r="C11" s="283"/>
    </row>
    <row r="12" spans="1:21" x14ac:dyDescent="0.25">
      <c r="A12" s="284" t="s">
        <v>792</v>
      </c>
      <c r="B12" s="285" t="s">
        <v>13</v>
      </c>
      <c r="C12" s="286">
        <v>18375000</v>
      </c>
    </row>
    <row r="13" spans="1:21" x14ac:dyDescent="0.25">
      <c r="A13" s="284" t="s">
        <v>793</v>
      </c>
      <c r="B13" s="285" t="s">
        <v>819</v>
      </c>
      <c r="C13" s="286">
        <v>0</v>
      </c>
    </row>
    <row r="14" spans="1:21" x14ac:dyDescent="0.25">
      <c r="A14" s="284" t="s">
        <v>794</v>
      </c>
      <c r="B14" s="285" t="s">
        <v>574</v>
      </c>
      <c r="C14" s="286">
        <f>MapaI!F35</f>
        <v>390653387</v>
      </c>
    </row>
    <row r="15" spans="1:21" x14ac:dyDescent="0.25">
      <c r="A15" s="284" t="s">
        <v>168</v>
      </c>
      <c r="B15" s="287" t="s">
        <v>820</v>
      </c>
      <c r="C15" s="286">
        <v>35241264</v>
      </c>
    </row>
    <row r="16" spans="1:21" x14ac:dyDescent="0.25">
      <c r="A16" s="284" t="s">
        <v>715</v>
      </c>
      <c r="B16" s="285" t="s">
        <v>665</v>
      </c>
      <c r="C16" s="286">
        <f>MapaI!E130</f>
        <v>67000000</v>
      </c>
      <c r="E16" s="134">
        <f>+C16+C32</f>
        <v>78508375</v>
      </c>
    </row>
    <row r="17" spans="1:21" ht="8.25" hidden="1" customHeight="1" x14ac:dyDescent="0.25">
      <c r="A17" s="285"/>
      <c r="B17" s="286"/>
      <c r="C17" s="286"/>
    </row>
    <row r="18" spans="1:21" s="289" customFormat="1" ht="15.75" x14ac:dyDescent="0.25">
      <c r="A18" s="668" t="s">
        <v>795</v>
      </c>
      <c r="B18" s="669"/>
      <c r="C18" s="288">
        <f>SUM(C12:C17)</f>
        <v>511269651</v>
      </c>
      <c r="D18" s="134"/>
      <c r="E18" s="134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hidden="1" x14ac:dyDescent="0.25">
      <c r="A19" s="285"/>
      <c r="B19" s="290" t="s">
        <v>796</v>
      </c>
      <c r="C19" s="285"/>
    </row>
    <row r="20" spans="1:21" hidden="1" x14ac:dyDescent="0.25">
      <c r="A20" s="285"/>
      <c r="B20" s="285"/>
      <c r="C20" s="285"/>
    </row>
    <row r="21" spans="1:21" hidden="1" x14ac:dyDescent="0.25">
      <c r="A21" s="285"/>
      <c r="C21" s="286"/>
    </row>
    <row r="22" spans="1:21" hidden="1" x14ac:dyDescent="0.25">
      <c r="A22" s="285"/>
      <c r="B22" s="285"/>
      <c r="C22" s="286"/>
    </row>
    <row r="23" spans="1:21" hidden="1" x14ac:dyDescent="0.25">
      <c r="A23" s="285"/>
      <c r="B23" s="285"/>
      <c r="C23" s="286"/>
    </row>
    <row r="24" spans="1:21" s="289" customFormat="1" ht="15.75" hidden="1" x14ac:dyDescent="0.25">
      <c r="A24" s="291"/>
      <c r="B24" s="292" t="s">
        <v>797</v>
      </c>
      <c r="C24" s="293">
        <f>SUM(C19:C23)</f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 x14ac:dyDescent="0.25">
      <c r="A25" s="675" t="s">
        <v>798</v>
      </c>
      <c r="B25" s="676"/>
      <c r="C25" s="677"/>
    </row>
    <row r="26" spans="1:21" x14ac:dyDescent="0.25">
      <c r="A26" s="284" t="s">
        <v>799</v>
      </c>
      <c r="B26" s="285" t="s">
        <v>944</v>
      </c>
      <c r="C26" s="229">
        <f>+MapaIII!D12</f>
        <v>125643520</v>
      </c>
    </row>
    <row r="27" spans="1:21" x14ac:dyDescent="0.25">
      <c r="A27" s="284" t="s">
        <v>800</v>
      </c>
      <c r="B27" s="285" t="s">
        <v>491</v>
      </c>
      <c r="C27" s="229">
        <f>+MapaIII!D13</f>
        <v>36319720</v>
      </c>
    </row>
    <row r="28" spans="1:21" x14ac:dyDescent="0.25">
      <c r="A28" s="284" t="s">
        <v>801</v>
      </c>
      <c r="B28" s="285" t="s">
        <v>554</v>
      </c>
      <c r="C28" s="229">
        <f>+MapaIII!D14</f>
        <v>13525632</v>
      </c>
    </row>
    <row r="29" spans="1:21" ht="15.75" customHeight="1" x14ac:dyDescent="0.25">
      <c r="A29" s="284" t="s">
        <v>802</v>
      </c>
      <c r="B29" s="285" t="s">
        <v>574</v>
      </c>
      <c r="C29" s="229">
        <f>+MapaIII!D15</f>
        <v>500000</v>
      </c>
    </row>
    <row r="30" spans="1:21" x14ac:dyDescent="0.25">
      <c r="A30" s="284" t="s">
        <v>803</v>
      </c>
      <c r="B30" s="285" t="s">
        <v>592</v>
      </c>
      <c r="C30" s="229">
        <f>+MapaIII!D16</f>
        <v>15000000</v>
      </c>
    </row>
    <row r="31" spans="1:21" x14ac:dyDescent="0.25">
      <c r="A31" s="284" t="s">
        <v>804</v>
      </c>
      <c r="B31" s="285" t="s">
        <v>607</v>
      </c>
      <c r="C31" s="229">
        <f>+MapaIII!D17</f>
        <v>4500000</v>
      </c>
    </row>
    <row r="32" spans="1:21" x14ac:dyDescent="0.25">
      <c r="A32" s="284" t="s">
        <v>715</v>
      </c>
      <c r="B32" s="285" t="s">
        <v>665</v>
      </c>
      <c r="C32" s="229">
        <f>MapaIII!D18</f>
        <v>11508375</v>
      </c>
    </row>
    <row r="33" spans="1:21" hidden="1" x14ac:dyDescent="0.25">
      <c r="A33" s="285"/>
      <c r="B33" s="285"/>
      <c r="C33" s="285"/>
    </row>
    <row r="34" spans="1:21" s="289" customFormat="1" ht="15.75" x14ac:dyDescent="0.25">
      <c r="A34" s="668" t="s">
        <v>805</v>
      </c>
      <c r="B34" s="669"/>
      <c r="C34" s="288">
        <f>SUM(C26:C33)</f>
        <v>206997247</v>
      </c>
      <c r="D34" s="134"/>
      <c r="E34" s="134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ht="15.75" x14ac:dyDescent="0.25">
      <c r="A35" s="670" t="s">
        <v>806</v>
      </c>
      <c r="B35" s="671"/>
      <c r="C35" s="672"/>
      <c r="D35" s="134">
        <f>+C34+C42</f>
        <v>481917247</v>
      </c>
    </row>
    <row r="36" spans="1:21" x14ac:dyDescent="0.25">
      <c r="A36" s="284">
        <v>1</v>
      </c>
      <c r="B36" s="285" t="s">
        <v>835</v>
      </c>
      <c r="C36" s="229">
        <f>+MapaX!I15</f>
        <v>2100000</v>
      </c>
      <c r="D36" s="99"/>
    </row>
    <row r="37" spans="1:21" x14ac:dyDescent="0.25">
      <c r="A37" s="284">
        <v>2</v>
      </c>
      <c r="B37" s="285" t="s">
        <v>842</v>
      </c>
      <c r="C37" s="229">
        <f>+MapaX!I22</f>
        <v>650000</v>
      </c>
      <c r="D37" s="99">
        <f>+C34+C42</f>
        <v>481917247</v>
      </c>
    </row>
    <row r="38" spans="1:21" x14ac:dyDescent="0.25">
      <c r="A38" s="284">
        <v>3</v>
      </c>
      <c r="B38" s="294" t="s">
        <v>807</v>
      </c>
      <c r="C38" s="229">
        <f>+MapaX!I32</f>
        <v>24820000</v>
      </c>
      <c r="D38" s="99"/>
    </row>
    <row r="39" spans="1:21" x14ac:dyDescent="0.25">
      <c r="A39" s="284">
        <v>4</v>
      </c>
      <c r="B39" s="294" t="s">
        <v>808</v>
      </c>
      <c r="C39" s="229">
        <f>+MapaX!I58</f>
        <v>10700000</v>
      </c>
      <c r="D39" s="99"/>
    </row>
    <row r="40" spans="1:21" x14ac:dyDescent="0.25">
      <c r="A40" s="284">
        <v>5</v>
      </c>
      <c r="B40" s="294" t="s">
        <v>809</v>
      </c>
      <c r="C40" s="229">
        <f>+MapaX!I71</f>
        <v>218850000</v>
      </c>
      <c r="D40" s="99"/>
      <c r="F40" s="134"/>
    </row>
    <row r="41" spans="1:21" x14ac:dyDescent="0.25">
      <c r="A41" s="284">
        <v>6</v>
      </c>
      <c r="B41" s="294" t="s">
        <v>810</v>
      </c>
      <c r="C41" s="229">
        <f>+MapaX!I116</f>
        <v>17800000</v>
      </c>
      <c r="D41" s="99"/>
    </row>
    <row r="42" spans="1:21" s="289" customFormat="1" ht="15.75" x14ac:dyDescent="0.25">
      <c r="A42" s="668" t="s">
        <v>811</v>
      </c>
      <c r="B42" s="669"/>
      <c r="C42" s="295">
        <f>+C36+C37+C38+C39+C40+C41</f>
        <v>274920000</v>
      </c>
      <c r="D42" s="99"/>
      <c r="E42" s="134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ht="15.75" x14ac:dyDescent="0.25">
      <c r="A43" s="673" t="s">
        <v>812</v>
      </c>
      <c r="B43" s="674"/>
      <c r="C43" s="296">
        <f>+C42+C34</f>
        <v>481917247</v>
      </c>
    </row>
    <row r="44" spans="1:21" ht="15.75" x14ac:dyDescent="0.25">
      <c r="A44" s="297"/>
      <c r="B44" s="297"/>
      <c r="C44" s="298"/>
    </row>
    <row r="45" spans="1:21" ht="5.25" customHeight="1" x14ac:dyDescent="0.25">
      <c r="B45" s="299"/>
      <c r="C45" s="298"/>
    </row>
    <row r="46" spans="1:21" x14ac:dyDescent="0.25">
      <c r="A46" s="641" t="s">
        <v>1152</v>
      </c>
      <c r="B46" s="641"/>
      <c r="C46" s="641"/>
    </row>
    <row r="47" spans="1:21" x14ac:dyDescent="0.25">
      <c r="A47" s="300"/>
      <c r="B47" s="300"/>
      <c r="C47" s="300"/>
    </row>
    <row r="48" spans="1:21" x14ac:dyDescent="0.25">
      <c r="A48" s="300"/>
      <c r="B48" s="300"/>
      <c r="C48" s="300"/>
    </row>
    <row r="49" spans="1:16" x14ac:dyDescent="0.25">
      <c r="A49" s="642" t="s">
        <v>376</v>
      </c>
      <c r="B49" s="642"/>
      <c r="C49" s="642"/>
    </row>
    <row r="50" spans="1:16" x14ac:dyDescent="0.25">
      <c r="A50" s="301"/>
      <c r="B50" s="301"/>
      <c r="C50" s="301"/>
    </row>
    <row r="51" spans="1:16" x14ac:dyDescent="0.25">
      <c r="A51" s="643" t="s">
        <v>377</v>
      </c>
      <c r="B51" s="643"/>
      <c r="C51" s="643"/>
    </row>
    <row r="52" spans="1:16" x14ac:dyDescent="0.25">
      <c r="A52" s="644" t="s">
        <v>378</v>
      </c>
      <c r="B52" s="644"/>
      <c r="C52" s="644"/>
    </row>
    <row r="53" spans="1:16" x14ac:dyDescent="0.25">
      <c r="A53" s="623"/>
      <c r="B53" s="623"/>
      <c r="C53" s="623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</row>
    <row r="54" spans="1:16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</row>
    <row r="55" spans="1:16" x14ac:dyDescent="0.25">
      <c r="A55" s="622"/>
      <c r="B55" s="622"/>
      <c r="C55" s="622"/>
    </row>
    <row r="56" spans="1:16" x14ac:dyDescent="0.25">
      <c r="A56" s="87"/>
      <c r="B56" s="20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5">
      <c r="A57" s="643"/>
      <c r="B57" s="643"/>
      <c r="C57" s="6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16" x14ac:dyDescent="0.25">
      <c r="A58" s="625"/>
      <c r="B58" s="625"/>
      <c r="C58" s="625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1:16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</sheetData>
  <mergeCells count="18">
    <mergeCell ref="A25:C25"/>
    <mergeCell ref="A5:C5"/>
    <mergeCell ref="A6:C6"/>
    <mergeCell ref="A7:C9"/>
    <mergeCell ref="D7:E9"/>
    <mergeCell ref="A18:B18"/>
    <mergeCell ref="A58:C58"/>
    <mergeCell ref="A34:B34"/>
    <mergeCell ref="A35:C35"/>
    <mergeCell ref="A42:B42"/>
    <mergeCell ref="A43:B43"/>
    <mergeCell ref="A46:C46"/>
    <mergeCell ref="A49:C49"/>
    <mergeCell ref="A51:C51"/>
    <mergeCell ref="A52:C52"/>
    <mergeCell ref="A53:C53"/>
    <mergeCell ref="A55:C55"/>
    <mergeCell ref="A57:C57"/>
  </mergeCells>
  <pageMargins left="0.9055118110236221" right="0.31496062992125984" top="0.74803149606299213" bottom="0.35433070866141736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1"/>
  <sheetViews>
    <sheetView topLeftCell="A2" zoomScaleNormal="100" workbookViewId="0">
      <selection activeCell="G9" sqref="G9"/>
    </sheetView>
  </sheetViews>
  <sheetFormatPr defaultRowHeight="15" x14ac:dyDescent="0.25"/>
  <cols>
    <col min="1" max="1" width="19.5703125" style="71" customWidth="1"/>
    <col min="2" max="2" width="22.140625" style="71" customWidth="1"/>
    <col min="3" max="3" width="74.7109375" style="71" customWidth="1"/>
    <col min="4" max="5" width="20.5703125" style="71" customWidth="1"/>
    <col min="6" max="6" width="17.28515625" style="71" customWidth="1"/>
    <col min="7" max="7" width="21" style="71" customWidth="1"/>
    <col min="8" max="16384" width="9.140625" style="71"/>
  </cols>
  <sheetData>
    <row r="3" spans="1:9" x14ac:dyDescent="0.25">
      <c r="G3" s="618"/>
    </row>
    <row r="4" spans="1:9" x14ac:dyDescent="0.25">
      <c r="A4" s="71" t="s">
        <v>393</v>
      </c>
    </row>
    <row r="5" spans="1:9" x14ac:dyDescent="0.25">
      <c r="A5" s="71" t="s">
        <v>1125</v>
      </c>
    </row>
    <row r="6" spans="1:9" x14ac:dyDescent="0.25">
      <c r="A6" s="334" t="s">
        <v>824</v>
      </c>
      <c r="B6" s="334"/>
      <c r="C6" s="334"/>
    </row>
    <row r="7" spans="1:9" x14ac:dyDescent="0.25">
      <c r="A7" s="335" t="s">
        <v>694</v>
      </c>
      <c r="B7" s="335" t="s">
        <v>695</v>
      </c>
      <c r="C7" s="335" t="s">
        <v>395</v>
      </c>
      <c r="D7" s="335" t="s">
        <v>696</v>
      </c>
      <c r="E7" s="335"/>
      <c r="F7" s="335" t="s">
        <v>428</v>
      </c>
      <c r="G7" s="335" t="s">
        <v>697</v>
      </c>
    </row>
    <row r="8" spans="1:9" x14ac:dyDescent="0.25">
      <c r="A8" s="335"/>
      <c r="B8" s="335"/>
      <c r="C8" s="335"/>
      <c r="D8" s="335" t="s">
        <v>698</v>
      </c>
      <c r="E8" s="335" t="s">
        <v>699</v>
      </c>
      <c r="F8" s="335"/>
      <c r="G8" s="335"/>
    </row>
    <row r="9" spans="1:9" ht="15.75" x14ac:dyDescent="0.25">
      <c r="A9" s="215" t="s">
        <v>700</v>
      </c>
      <c r="B9" s="215"/>
      <c r="C9" s="215"/>
      <c r="D9" s="215">
        <f>+D10+D19+D22+D33+D40+D71+D75+D80</f>
        <v>206997247</v>
      </c>
      <c r="E9" s="215">
        <f>+E19+E22+E33+E40+E71+E75+E80</f>
        <v>274920000</v>
      </c>
      <c r="F9" s="215">
        <f>+SUM(D9:E9)</f>
        <v>481917247</v>
      </c>
      <c r="G9" s="336">
        <f>+F10/$F$9</f>
        <v>0.42952861365428574</v>
      </c>
    </row>
    <row r="10" spans="1:9" x14ac:dyDescent="0.25">
      <c r="A10" s="285" t="s">
        <v>701</v>
      </c>
      <c r="B10" s="285"/>
      <c r="C10" s="746" t="s">
        <v>702</v>
      </c>
      <c r="D10" s="747">
        <f>D11</f>
        <v>206997247</v>
      </c>
      <c r="E10" s="747"/>
      <c r="F10" s="747">
        <f>+SUM(D10:E10)</f>
        <v>206997247</v>
      </c>
      <c r="G10" s="748">
        <f t="shared" ref="G10" si="0">+F11/$F$9</f>
        <v>0.42952861365428574</v>
      </c>
    </row>
    <row r="11" spans="1:9" x14ac:dyDescent="0.25">
      <c r="A11" s="285" t="s">
        <v>703</v>
      </c>
      <c r="B11" s="285"/>
      <c r="C11" s="746" t="s">
        <v>704</v>
      </c>
      <c r="D11" s="747">
        <f>+SUM(D12:D18)</f>
        <v>206997247</v>
      </c>
      <c r="E11" s="747"/>
      <c r="F11" s="747">
        <f t="shared" ref="F11:F18" si="1">+SUM(D11:E11)</f>
        <v>206997247</v>
      </c>
      <c r="G11" s="748">
        <f>+F11/$F$9</f>
        <v>0.42952861365428574</v>
      </c>
    </row>
    <row r="12" spans="1:9" x14ac:dyDescent="0.25">
      <c r="A12" s="285" t="s">
        <v>705</v>
      </c>
      <c r="B12" s="285" t="s">
        <v>423</v>
      </c>
      <c r="C12" s="746" t="s">
        <v>706</v>
      </c>
      <c r="D12" s="747">
        <f>MapaIII!D12</f>
        <v>125643520</v>
      </c>
      <c r="E12" s="747"/>
      <c r="F12" s="747">
        <f t="shared" si="1"/>
        <v>125643520</v>
      </c>
      <c r="G12" s="748">
        <f t="shared" ref="G12:G76" si="2">+F12/$F$9</f>
        <v>0.2607159647888676</v>
      </c>
    </row>
    <row r="13" spans="1:9" x14ac:dyDescent="0.25">
      <c r="A13" s="285" t="s">
        <v>707</v>
      </c>
      <c r="B13" s="285" t="s">
        <v>490</v>
      </c>
      <c r="C13" s="746" t="s">
        <v>491</v>
      </c>
      <c r="D13" s="747">
        <f>MapaIII!D13</f>
        <v>36319720</v>
      </c>
      <c r="E13" s="747"/>
      <c r="F13" s="747">
        <f t="shared" si="1"/>
        <v>36319720</v>
      </c>
      <c r="G13" s="748">
        <f t="shared" si="2"/>
        <v>7.5365055361880415E-2</v>
      </c>
    </row>
    <row r="14" spans="1:9" x14ac:dyDescent="0.25">
      <c r="A14" s="285" t="s">
        <v>708</v>
      </c>
      <c r="B14" s="285" t="s">
        <v>553</v>
      </c>
      <c r="C14" s="746" t="s">
        <v>554</v>
      </c>
      <c r="D14" s="747">
        <f>MapaIII!D14</f>
        <v>13525632</v>
      </c>
      <c r="E14" s="747"/>
      <c r="F14" s="747">
        <f t="shared" si="1"/>
        <v>13525632</v>
      </c>
      <c r="G14" s="748">
        <f t="shared" si="2"/>
        <v>2.8066295788745657E-2</v>
      </c>
    </row>
    <row r="15" spans="1:9" x14ac:dyDescent="0.25">
      <c r="A15" s="285" t="s">
        <v>709</v>
      </c>
      <c r="B15" s="285" t="s">
        <v>573</v>
      </c>
      <c r="C15" s="746" t="s">
        <v>710</v>
      </c>
      <c r="D15" s="747">
        <f>MapaIII!D15</f>
        <v>500000</v>
      </c>
      <c r="E15" s="747"/>
      <c r="F15" s="747">
        <f t="shared" si="1"/>
        <v>500000</v>
      </c>
      <c r="G15" s="748">
        <f t="shared" si="2"/>
        <v>1.0375225271819334E-3</v>
      </c>
    </row>
    <row r="16" spans="1:9" x14ac:dyDescent="0.25">
      <c r="A16" s="285" t="s">
        <v>711</v>
      </c>
      <c r="B16" s="285" t="s">
        <v>591</v>
      </c>
      <c r="C16" s="746" t="s">
        <v>592</v>
      </c>
      <c r="D16" s="747">
        <f>MapaIII!D16</f>
        <v>15000000</v>
      </c>
      <c r="E16" s="747"/>
      <c r="F16" s="747">
        <f t="shared" si="1"/>
        <v>15000000</v>
      </c>
      <c r="G16" s="748">
        <f t="shared" si="2"/>
        <v>3.1125675815458002E-2</v>
      </c>
      <c r="I16" s="339"/>
    </row>
    <row r="17" spans="1:7" x14ac:dyDescent="0.25">
      <c r="A17" s="285" t="s">
        <v>712</v>
      </c>
      <c r="B17" s="285" t="s">
        <v>713</v>
      </c>
      <c r="C17" s="746" t="s">
        <v>714</v>
      </c>
      <c r="D17" s="747">
        <f>MapaIII!D17</f>
        <v>4500000</v>
      </c>
      <c r="E17" s="747"/>
      <c r="F17" s="747">
        <f t="shared" si="1"/>
        <v>4500000</v>
      </c>
      <c r="G17" s="748">
        <f t="shared" si="2"/>
        <v>9.3377027446374002E-3</v>
      </c>
    </row>
    <row r="18" spans="1:7" x14ac:dyDescent="0.25">
      <c r="A18" s="285" t="s">
        <v>712</v>
      </c>
      <c r="B18" s="285" t="s">
        <v>715</v>
      </c>
      <c r="C18" s="746" t="s">
        <v>716</v>
      </c>
      <c r="D18" s="747">
        <f>MapaIII!D18</f>
        <v>11508375</v>
      </c>
      <c r="E18" s="747"/>
      <c r="F18" s="747">
        <f t="shared" si="1"/>
        <v>11508375</v>
      </c>
      <c r="G18" s="748">
        <f t="shared" si="2"/>
        <v>2.3880396627514764E-2</v>
      </c>
    </row>
    <row r="19" spans="1:7" x14ac:dyDescent="0.25">
      <c r="A19" s="285" t="s">
        <v>717</v>
      </c>
      <c r="B19" s="285"/>
      <c r="C19" s="746" t="s">
        <v>718</v>
      </c>
      <c r="D19" s="747"/>
      <c r="E19" s="747">
        <f>+SUM(E20:E21)</f>
        <v>800000</v>
      </c>
      <c r="F19" s="747">
        <f>+SUM(F20:F21)</f>
        <v>800000</v>
      </c>
      <c r="G19" s="748"/>
    </row>
    <row r="20" spans="1:7" x14ac:dyDescent="0.25">
      <c r="A20" s="285" t="s">
        <v>719</v>
      </c>
      <c r="B20" s="285" t="s">
        <v>485</v>
      </c>
      <c r="C20" s="746" t="s">
        <v>901</v>
      </c>
      <c r="D20" s="747"/>
      <c r="E20" s="747">
        <f>+MapaIII!E20</f>
        <v>650000</v>
      </c>
      <c r="F20" s="747">
        <f>+SUM(D20:E20)</f>
        <v>650000</v>
      </c>
      <c r="G20" s="748">
        <f t="shared" si="2"/>
        <v>1.3487792853365134E-3</v>
      </c>
    </row>
    <row r="21" spans="1:7" x14ac:dyDescent="0.25">
      <c r="A21" s="285" t="s">
        <v>719</v>
      </c>
      <c r="B21" s="285" t="s">
        <v>433</v>
      </c>
      <c r="C21" s="746" t="s">
        <v>720</v>
      </c>
      <c r="D21" s="747"/>
      <c r="E21" s="747">
        <f>+MapaIII!E21</f>
        <v>150000</v>
      </c>
      <c r="F21" s="747">
        <f t="shared" ref="F21:F83" si="3">+SUM(D21:E21)</f>
        <v>150000</v>
      </c>
      <c r="G21" s="748">
        <f t="shared" si="2"/>
        <v>3.1125675815458001E-4</v>
      </c>
    </row>
    <row r="22" spans="1:7" x14ac:dyDescent="0.25">
      <c r="A22" s="285" t="s">
        <v>721</v>
      </c>
      <c r="B22" s="285"/>
      <c r="C22" s="746" t="s">
        <v>722</v>
      </c>
      <c r="D22" s="747"/>
      <c r="E22" s="747">
        <f>+SUM(E23:E32)</f>
        <v>13500000</v>
      </c>
      <c r="F22" s="747">
        <f>+SUM(F23:F32)</f>
        <v>11500000</v>
      </c>
      <c r="G22" s="748"/>
    </row>
    <row r="23" spans="1:7" x14ac:dyDescent="0.25">
      <c r="A23" s="285" t="s">
        <v>723</v>
      </c>
      <c r="B23" s="285" t="s">
        <v>449</v>
      </c>
      <c r="C23" s="285" t="s">
        <v>724</v>
      </c>
      <c r="D23" s="337"/>
      <c r="E23" s="337">
        <f>+MapaIII!E23</f>
        <v>500000</v>
      </c>
      <c r="F23" s="337">
        <f t="shared" si="3"/>
        <v>500000</v>
      </c>
      <c r="G23" s="338">
        <f t="shared" si="2"/>
        <v>1.0375225271819334E-3</v>
      </c>
    </row>
    <row r="24" spans="1:7" x14ac:dyDescent="0.25">
      <c r="A24" s="285" t="s">
        <v>723</v>
      </c>
      <c r="B24" s="285" t="s">
        <v>449</v>
      </c>
      <c r="C24" s="285" t="s">
        <v>866</v>
      </c>
      <c r="D24" s="337"/>
      <c r="E24" s="337">
        <f>+MapaIII!E24</f>
        <v>1800000</v>
      </c>
      <c r="F24" s="337">
        <f t="shared" si="3"/>
        <v>1800000</v>
      </c>
      <c r="G24" s="338">
        <f t="shared" si="2"/>
        <v>3.7350810978549602E-3</v>
      </c>
    </row>
    <row r="25" spans="1:7" x14ac:dyDescent="0.25">
      <c r="A25" s="285" t="s">
        <v>723</v>
      </c>
      <c r="B25" s="285" t="s">
        <v>449</v>
      </c>
      <c r="C25" s="285" t="s">
        <v>725</v>
      </c>
      <c r="D25" s="337"/>
      <c r="E25" s="337"/>
      <c r="F25" s="337">
        <f t="shared" si="3"/>
        <v>0</v>
      </c>
      <c r="G25" s="338">
        <f t="shared" si="2"/>
        <v>0</v>
      </c>
    </row>
    <row r="26" spans="1:7" x14ac:dyDescent="0.25">
      <c r="A26" s="285" t="s">
        <v>726</v>
      </c>
      <c r="B26" s="285" t="s">
        <v>727</v>
      </c>
      <c r="C26" s="285" t="s">
        <v>728</v>
      </c>
      <c r="D26" s="337"/>
      <c r="E26" s="337">
        <f>+MapaIII!E25</f>
        <v>3500000</v>
      </c>
      <c r="F26" s="337">
        <f t="shared" si="3"/>
        <v>3500000</v>
      </c>
      <c r="G26" s="338">
        <f t="shared" si="2"/>
        <v>7.2626576902735333E-3</v>
      </c>
    </row>
    <row r="27" spans="1:7" x14ac:dyDescent="0.25">
      <c r="A27" s="285" t="s">
        <v>726</v>
      </c>
      <c r="B27" s="285" t="s">
        <v>727</v>
      </c>
      <c r="C27" s="285" t="s">
        <v>846</v>
      </c>
      <c r="D27" s="337"/>
      <c r="E27" s="337">
        <f>+MapaIII!E26</f>
        <v>500000</v>
      </c>
      <c r="F27" s="337">
        <f t="shared" si="3"/>
        <v>500000</v>
      </c>
      <c r="G27" s="338">
        <f t="shared" si="2"/>
        <v>1.0375225271819334E-3</v>
      </c>
    </row>
    <row r="28" spans="1:7" x14ac:dyDescent="0.25">
      <c r="A28" s="240" t="s">
        <v>726</v>
      </c>
      <c r="B28" s="247" t="s">
        <v>727</v>
      </c>
      <c r="C28" s="248" t="s">
        <v>1138</v>
      </c>
      <c r="D28" s="337"/>
      <c r="E28" s="337">
        <f>MapaIII!E27</f>
        <v>2000000</v>
      </c>
      <c r="F28" s="337"/>
      <c r="G28" s="338"/>
    </row>
    <row r="29" spans="1:7" x14ac:dyDescent="0.25">
      <c r="A29" s="285" t="s">
        <v>729</v>
      </c>
      <c r="B29" s="285" t="s">
        <v>469</v>
      </c>
      <c r="C29" s="285" t="s">
        <v>730</v>
      </c>
      <c r="D29" s="337"/>
      <c r="E29" s="337">
        <f>+MapaIII!E28</f>
        <v>1200000</v>
      </c>
      <c r="F29" s="337">
        <f t="shared" si="3"/>
        <v>1200000</v>
      </c>
      <c r="G29" s="338">
        <f t="shared" si="2"/>
        <v>2.4900540652366401E-3</v>
      </c>
    </row>
    <row r="30" spans="1:7" x14ac:dyDescent="0.25">
      <c r="A30" s="285" t="s">
        <v>729</v>
      </c>
      <c r="B30" s="285" t="s">
        <v>469</v>
      </c>
      <c r="C30" s="285" t="s">
        <v>1020</v>
      </c>
      <c r="D30" s="337"/>
      <c r="E30" s="337"/>
      <c r="F30" s="337">
        <f t="shared" si="3"/>
        <v>0</v>
      </c>
      <c r="G30" s="338">
        <f t="shared" si="2"/>
        <v>0</v>
      </c>
    </row>
    <row r="31" spans="1:7" x14ac:dyDescent="0.25">
      <c r="A31" s="285" t="s">
        <v>731</v>
      </c>
      <c r="B31" s="285" t="s">
        <v>469</v>
      </c>
      <c r="C31" s="285" t="s">
        <v>732</v>
      </c>
      <c r="D31" s="337"/>
      <c r="E31" s="337"/>
      <c r="F31" s="337">
        <f t="shared" si="3"/>
        <v>0</v>
      </c>
      <c r="G31" s="338">
        <f t="shared" si="2"/>
        <v>0</v>
      </c>
    </row>
    <row r="32" spans="1:7" x14ac:dyDescent="0.25">
      <c r="A32" s="285" t="s">
        <v>733</v>
      </c>
      <c r="B32" s="285" t="s">
        <v>469</v>
      </c>
      <c r="C32" s="285" t="s">
        <v>734</v>
      </c>
      <c r="D32" s="337"/>
      <c r="E32" s="337">
        <f>+MapaIII!E29</f>
        <v>4000000</v>
      </c>
      <c r="F32" s="337">
        <f t="shared" si="3"/>
        <v>4000000</v>
      </c>
      <c r="G32" s="338">
        <f t="shared" si="2"/>
        <v>8.3001802174554676E-3</v>
      </c>
    </row>
    <row r="33" spans="1:7" x14ac:dyDescent="0.25">
      <c r="A33" s="746" t="s">
        <v>735</v>
      </c>
      <c r="B33" s="746"/>
      <c r="C33" s="746" t="s">
        <v>736</v>
      </c>
      <c r="D33" s="747"/>
      <c r="E33" s="747">
        <f>+SUM(E34:E39)</f>
        <v>17400000</v>
      </c>
      <c r="F33" s="747">
        <f t="shared" si="3"/>
        <v>17400000</v>
      </c>
      <c r="G33" s="748"/>
    </row>
    <row r="34" spans="1:7" x14ac:dyDescent="0.25">
      <c r="A34" s="746" t="s">
        <v>737</v>
      </c>
      <c r="B34" s="746" t="s">
        <v>469</v>
      </c>
      <c r="C34" s="746" t="s">
        <v>738</v>
      </c>
      <c r="D34" s="747"/>
      <c r="E34" s="747">
        <f>+MapaIII!E31</f>
        <v>4400000</v>
      </c>
      <c r="F34" s="747">
        <f t="shared" si="3"/>
        <v>4400000</v>
      </c>
      <c r="G34" s="748">
        <f t="shared" si="2"/>
        <v>9.130198239201014E-3</v>
      </c>
    </row>
    <row r="35" spans="1:7" x14ac:dyDescent="0.25">
      <c r="A35" s="746" t="s">
        <v>739</v>
      </c>
      <c r="B35" s="746" t="s">
        <v>449</v>
      </c>
      <c r="C35" s="746" t="s">
        <v>740</v>
      </c>
      <c r="D35" s="747"/>
      <c r="E35" s="747">
        <f>+MapaIII!E32</f>
        <v>6500000</v>
      </c>
      <c r="F35" s="747">
        <f t="shared" si="3"/>
        <v>6500000</v>
      </c>
      <c r="G35" s="748">
        <f t="shared" si="2"/>
        <v>1.3487792853365134E-2</v>
      </c>
    </row>
    <row r="36" spans="1:7" x14ac:dyDescent="0.25">
      <c r="A36" s="746" t="s">
        <v>739</v>
      </c>
      <c r="B36" s="746" t="s">
        <v>485</v>
      </c>
      <c r="C36" s="746" t="s">
        <v>741</v>
      </c>
      <c r="D36" s="747"/>
      <c r="E36" s="747">
        <f>+MapaIII!E33</f>
        <v>4000000</v>
      </c>
      <c r="F36" s="747">
        <f t="shared" si="3"/>
        <v>4000000</v>
      </c>
      <c r="G36" s="748">
        <f t="shared" si="2"/>
        <v>8.3001802174554676E-3</v>
      </c>
    </row>
    <row r="37" spans="1:7" x14ac:dyDescent="0.25">
      <c r="A37" s="746" t="s">
        <v>739</v>
      </c>
      <c r="B37" s="746" t="s">
        <v>485</v>
      </c>
      <c r="C37" s="746" t="s">
        <v>892</v>
      </c>
      <c r="D37" s="747"/>
      <c r="E37" s="747"/>
      <c r="F37" s="747">
        <f t="shared" si="3"/>
        <v>0</v>
      </c>
      <c r="G37" s="748">
        <f t="shared" si="2"/>
        <v>0</v>
      </c>
    </row>
    <row r="38" spans="1:7" x14ac:dyDescent="0.25">
      <c r="A38" s="746" t="s">
        <v>739</v>
      </c>
      <c r="B38" s="746" t="s">
        <v>469</v>
      </c>
      <c r="C38" s="746" t="s">
        <v>742</v>
      </c>
      <c r="D38" s="747"/>
      <c r="E38" s="747">
        <f>+MapaIII!E34</f>
        <v>2500000</v>
      </c>
      <c r="F38" s="747">
        <f t="shared" si="3"/>
        <v>2500000</v>
      </c>
      <c r="G38" s="748">
        <f t="shared" si="2"/>
        <v>5.1876126359096672E-3</v>
      </c>
    </row>
    <row r="39" spans="1:7" x14ac:dyDescent="0.25">
      <c r="A39" s="746" t="s">
        <v>739</v>
      </c>
      <c r="B39" s="746" t="s">
        <v>449</v>
      </c>
      <c r="C39" s="746" t="s">
        <v>743</v>
      </c>
      <c r="D39" s="747"/>
      <c r="E39" s="747"/>
      <c r="F39" s="747">
        <f t="shared" si="3"/>
        <v>0</v>
      </c>
      <c r="G39" s="748">
        <f t="shared" si="2"/>
        <v>0</v>
      </c>
    </row>
    <row r="40" spans="1:7" x14ac:dyDescent="0.25">
      <c r="A40" s="746" t="s">
        <v>744</v>
      </c>
      <c r="B40" s="746"/>
      <c r="C40" s="746" t="s">
        <v>745</v>
      </c>
      <c r="D40" s="747"/>
      <c r="E40" s="747">
        <f>+SUM(E41:E70)</f>
        <v>209400000</v>
      </c>
      <c r="F40" s="747">
        <f t="shared" si="3"/>
        <v>209400000</v>
      </c>
      <c r="G40" s="748"/>
    </row>
    <row r="41" spans="1:7" x14ac:dyDescent="0.25">
      <c r="A41" s="285" t="s">
        <v>746</v>
      </c>
      <c r="B41" s="285" t="s">
        <v>464</v>
      </c>
      <c r="C41" s="285" t="s">
        <v>747</v>
      </c>
      <c r="D41" s="337"/>
      <c r="E41" s="337">
        <f>+MapaIII!E36</f>
        <v>1500000</v>
      </c>
      <c r="F41" s="337">
        <f t="shared" si="3"/>
        <v>1500000</v>
      </c>
      <c r="G41" s="338">
        <f t="shared" si="2"/>
        <v>3.1125675815457999E-3</v>
      </c>
    </row>
    <row r="42" spans="1:7" x14ac:dyDescent="0.25">
      <c r="A42" s="285" t="s">
        <v>746</v>
      </c>
      <c r="B42" s="285" t="s">
        <v>469</v>
      </c>
      <c r="C42" s="285" t="s">
        <v>1025</v>
      </c>
      <c r="D42" s="337"/>
      <c r="E42" s="337"/>
      <c r="F42" s="337">
        <f t="shared" si="3"/>
        <v>0</v>
      </c>
      <c r="G42" s="338">
        <f t="shared" si="2"/>
        <v>0</v>
      </c>
    </row>
    <row r="43" spans="1:7" x14ac:dyDescent="0.25">
      <c r="A43" s="285" t="s">
        <v>746</v>
      </c>
      <c r="B43" s="285" t="s">
        <v>469</v>
      </c>
      <c r="C43" s="285" t="s">
        <v>861</v>
      </c>
      <c r="D43" s="337"/>
      <c r="E43" s="337">
        <f>+MapaIII!E37</f>
        <v>2000000</v>
      </c>
      <c r="F43" s="337">
        <f t="shared" si="3"/>
        <v>2000000</v>
      </c>
      <c r="G43" s="338">
        <f t="shared" si="2"/>
        <v>4.1500901087277338E-3</v>
      </c>
    </row>
    <row r="44" spans="1:7" x14ac:dyDescent="0.25">
      <c r="A44" s="285" t="s">
        <v>746</v>
      </c>
      <c r="B44" s="285" t="s">
        <v>469</v>
      </c>
      <c r="C44" s="285" t="s">
        <v>1021</v>
      </c>
      <c r="D44" s="337"/>
      <c r="E44" s="337">
        <f>+MapaIII!E38</f>
        <v>3000000</v>
      </c>
      <c r="F44" s="337">
        <f t="shared" si="3"/>
        <v>3000000</v>
      </c>
      <c r="G44" s="338">
        <f t="shared" si="2"/>
        <v>6.2251351630915998E-3</v>
      </c>
    </row>
    <row r="45" spans="1:7" x14ac:dyDescent="0.25">
      <c r="A45" s="285" t="s">
        <v>746</v>
      </c>
      <c r="B45" s="285" t="s">
        <v>469</v>
      </c>
      <c r="C45" s="285" t="s">
        <v>886</v>
      </c>
      <c r="D45" s="337"/>
      <c r="E45" s="337">
        <f>+MapaIII!E39</f>
        <v>2400000</v>
      </c>
      <c r="F45" s="337">
        <f t="shared" si="3"/>
        <v>2400000</v>
      </c>
      <c r="G45" s="338">
        <f t="shared" si="2"/>
        <v>4.9801081304732802E-3</v>
      </c>
    </row>
    <row r="46" spans="1:7" x14ac:dyDescent="0.25">
      <c r="A46" s="285" t="s">
        <v>746</v>
      </c>
      <c r="B46" s="285" t="s">
        <v>469</v>
      </c>
      <c r="C46" s="285" t="s">
        <v>1026</v>
      </c>
      <c r="D46" s="337"/>
      <c r="E46" s="337">
        <f>+MapaIII!E40</f>
        <v>4700000</v>
      </c>
      <c r="F46" s="337">
        <f t="shared" si="3"/>
        <v>4700000</v>
      </c>
      <c r="G46" s="338">
        <f t="shared" si="2"/>
        <v>9.7527117555101742E-3</v>
      </c>
    </row>
    <row r="47" spans="1:7" x14ac:dyDescent="0.25">
      <c r="A47" s="285" t="s">
        <v>746</v>
      </c>
      <c r="B47" s="285" t="s">
        <v>469</v>
      </c>
      <c r="C47" s="285" t="s">
        <v>905</v>
      </c>
      <c r="D47" s="337"/>
      <c r="E47" s="337"/>
      <c r="F47" s="337">
        <f t="shared" si="3"/>
        <v>0</v>
      </c>
      <c r="G47" s="338">
        <f t="shared" si="2"/>
        <v>0</v>
      </c>
    </row>
    <row r="48" spans="1:7" x14ac:dyDescent="0.25">
      <c r="A48" s="285" t="s">
        <v>746</v>
      </c>
      <c r="B48" s="285" t="s">
        <v>469</v>
      </c>
      <c r="C48" s="285" t="s">
        <v>909</v>
      </c>
      <c r="D48" s="337"/>
      <c r="E48" s="337">
        <f>+MapaIII!E41</f>
        <v>10000000</v>
      </c>
      <c r="F48" s="337">
        <f t="shared" si="3"/>
        <v>10000000</v>
      </c>
      <c r="G48" s="338">
        <f t="shared" si="2"/>
        <v>2.0750450543638669E-2</v>
      </c>
    </row>
    <row r="49" spans="1:7" x14ac:dyDescent="0.25">
      <c r="A49" s="285" t="s">
        <v>746</v>
      </c>
      <c r="B49" s="285" t="s">
        <v>469</v>
      </c>
      <c r="C49" s="285" t="s">
        <v>910</v>
      </c>
      <c r="D49" s="337"/>
      <c r="E49" s="337">
        <f>+MapaIII!E42</f>
        <v>30000000</v>
      </c>
      <c r="F49" s="337">
        <f t="shared" si="3"/>
        <v>30000000</v>
      </c>
      <c r="G49" s="338">
        <f t="shared" si="2"/>
        <v>6.2251351630916003E-2</v>
      </c>
    </row>
    <row r="50" spans="1:7" x14ac:dyDescent="0.25">
      <c r="A50" s="285" t="s">
        <v>746</v>
      </c>
      <c r="B50" s="285" t="s">
        <v>469</v>
      </c>
      <c r="C50" s="285" t="s">
        <v>1143</v>
      </c>
      <c r="D50" s="337"/>
      <c r="E50" s="337">
        <f>+MapaIII!E43</f>
        <v>5000000</v>
      </c>
      <c r="F50" s="337">
        <f t="shared" si="3"/>
        <v>5000000</v>
      </c>
      <c r="G50" s="338">
        <f t="shared" si="2"/>
        <v>1.0375225271819334E-2</v>
      </c>
    </row>
    <row r="51" spans="1:7" x14ac:dyDescent="0.25">
      <c r="A51" s="285" t="s">
        <v>746</v>
      </c>
      <c r="B51" s="285" t="s">
        <v>469</v>
      </c>
      <c r="C51" s="285" t="s">
        <v>913</v>
      </c>
      <c r="D51" s="337"/>
      <c r="E51" s="337"/>
      <c r="F51" s="337"/>
      <c r="G51" s="338">
        <f t="shared" si="2"/>
        <v>0</v>
      </c>
    </row>
    <row r="52" spans="1:7" x14ac:dyDescent="0.25">
      <c r="A52" s="285" t="s">
        <v>746</v>
      </c>
      <c r="B52" s="285" t="s">
        <v>469</v>
      </c>
      <c r="C52" s="285" t="s">
        <v>1151</v>
      </c>
      <c r="D52" s="337"/>
      <c r="E52" s="337">
        <f>+MapaIII!E44</f>
        <v>4000000</v>
      </c>
      <c r="F52" s="337">
        <f t="shared" si="3"/>
        <v>4000000</v>
      </c>
      <c r="G52" s="338">
        <f t="shared" si="2"/>
        <v>8.3001802174554676E-3</v>
      </c>
    </row>
    <row r="53" spans="1:7" x14ac:dyDescent="0.25">
      <c r="A53" s="285" t="s">
        <v>746</v>
      </c>
      <c r="B53" s="285" t="s">
        <v>469</v>
      </c>
      <c r="C53" s="285" t="s">
        <v>917</v>
      </c>
      <c r="D53" s="337"/>
      <c r="E53" s="337">
        <v>65000000</v>
      </c>
      <c r="F53" s="337">
        <f t="shared" si="3"/>
        <v>65000000</v>
      </c>
      <c r="G53" s="338">
        <f t="shared" si="2"/>
        <v>0.13487792853365133</v>
      </c>
    </row>
    <row r="54" spans="1:7" x14ac:dyDescent="0.25">
      <c r="A54" s="285" t="s">
        <v>746</v>
      </c>
      <c r="B54" s="285" t="s">
        <v>469</v>
      </c>
      <c r="C54" s="285" t="s">
        <v>1023</v>
      </c>
      <c r="D54" s="337"/>
      <c r="E54" s="337"/>
      <c r="F54" s="337">
        <f t="shared" si="3"/>
        <v>0</v>
      </c>
      <c r="G54" s="338">
        <f t="shared" si="2"/>
        <v>0</v>
      </c>
    </row>
    <row r="55" spans="1:7" x14ac:dyDescent="0.25">
      <c r="A55" s="285" t="s">
        <v>746</v>
      </c>
      <c r="B55" s="285" t="s">
        <v>469</v>
      </c>
      <c r="C55" s="252" t="s">
        <v>1150</v>
      </c>
      <c r="D55" s="337"/>
      <c r="E55" s="337">
        <f>MapaIII!E50</f>
        <v>20000000</v>
      </c>
      <c r="F55" s="337">
        <f t="shared" si="3"/>
        <v>20000000</v>
      </c>
      <c r="G55" s="338">
        <f t="shared" si="2"/>
        <v>4.1500901087277338E-2</v>
      </c>
    </row>
    <row r="56" spans="1:7" x14ac:dyDescent="0.25">
      <c r="A56" s="285" t="s">
        <v>746</v>
      </c>
      <c r="B56" s="285" t="s">
        <v>469</v>
      </c>
      <c r="C56" s="285" t="s">
        <v>918</v>
      </c>
      <c r="D56" s="337"/>
      <c r="E56" s="337"/>
      <c r="F56" s="337">
        <f t="shared" si="3"/>
        <v>0</v>
      </c>
      <c r="G56" s="338">
        <f t="shared" si="2"/>
        <v>0</v>
      </c>
    </row>
    <row r="57" spans="1:7" x14ac:dyDescent="0.25">
      <c r="A57" s="285" t="s">
        <v>746</v>
      </c>
      <c r="B57" s="285" t="s">
        <v>469</v>
      </c>
      <c r="C57" s="285" t="s">
        <v>919</v>
      </c>
      <c r="D57" s="337"/>
      <c r="E57" s="337">
        <f>+MapaIII!E46</f>
        <v>4000000</v>
      </c>
      <c r="F57" s="337">
        <f t="shared" si="3"/>
        <v>4000000</v>
      </c>
      <c r="G57" s="338">
        <f t="shared" si="2"/>
        <v>8.3001802174554676E-3</v>
      </c>
    </row>
    <row r="58" spans="1:7" x14ac:dyDescent="0.25">
      <c r="A58" s="285" t="s">
        <v>746</v>
      </c>
      <c r="B58" s="285" t="s">
        <v>469</v>
      </c>
      <c r="C58" s="285" t="s">
        <v>1024</v>
      </c>
      <c r="D58" s="337"/>
      <c r="E58" s="337">
        <f>+MapaIII!E47</f>
        <v>5000000</v>
      </c>
      <c r="F58" s="337">
        <f t="shared" si="3"/>
        <v>5000000</v>
      </c>
      <c r="G58" s="338">
        <f t="shared" si="2"/>
        <v>1.0375225271819334E-2</v>
      </c>
    </row>
    <row r="59" spans="1:7" x14ac:dyDescent="0.25">
      <c r="A59" s="285" t="s">
        <v>746</v>
      </c>
      <c r="B59" s="285" t="s">
        <v>469</v>
      </c>
      <c r="C59" s="285" t="s">
        <v>749</v>
      </c>
      <c r="D59" s="337"/>
      <c r="E59" s="337">
        <f>+MapaIII!E48</f>
        <v>2100000</v>
      </c>
      <c r="F59" s="337">
        <f t="shared" si="3"/>
        <v>2100000</v>
      </c>
      <c r="G59" s="338">
        <f t="shared" si="2"/>
        <v>4.35759461416412E-3</v>
      </c>
    </row>
    <row r="60" spans="1:7" x14ac:dyDescent="0.25">
      <c r="A60" s="285" t="s">
        <v>746</v>
      </c>
      <c r="B60" s="285" t="s">
        <v>469</v>
      </c>
      <c r="C60" s="285" t="s">
        <v>750</v>
      </c>
      <c r="D60" s="337"/>
      <c r="E60" s="337">
        <f>+MapaIII!E49</f>
        <v>2000000</v>
      </c>
      <c r="F60" s="337">
        <f t="shared" si="3"/>
        <v>2000000</v>
      </c>
      <c r="G60" s="338">
        <f t="shared" si="2"/>
        <v>4.1500901087277338E-3</v>
      </c>
    </row>
    <row r="61" spans="1:7" x14ac:dyDescent="0.25">
      <c r="A61" s="285" t="s">
        <v>746</v>
      </c>
      <c r="B61" s="285" t="s">
        <v>438</v>
      </c>
      <c r="C61" s="285" t="s">
        <v>751</v>
      </c>
      <c r="D61" s="337"/>
      <c r="E61" s="337"/>
      <c r="F61" s="337">
        <f t="shared" si="3"/>
        <v>0</v>
      </c>
      <c r="G61" s="338">
        <f t="shared" si="2"/>
        <v>0</v>
      </c>
    </row>
    <row r="62" spans="1:7" x14ac:dyDescent="0.25">
      <c r="A62" s="285" t="s">
        <v>746</v>
      </c>
      <c r="B62" s="285" t="s">
        <v>469</v>
      </c>
      <c r="C62" s="285" t="s">
        <v>752</v>
      </c>
      <c r="D62" s="337"/>
      <c r="E62" s="337"/>
      <c r="F62" s="337">
        <f t="shared" si="3"/>
        <v>0</v>
      </c>
      <c r="G62" s="338">
        <f t="shared" si="2"/>
        <v>0</v>
      </c>
    </row>
    <row r="63" spans="1:7" x14ac:dyDescent="0.25">
      <c r="A63" s="285" t="s">
        <v>753</v>
      </c>
      <c r="B63" s="285" t="s">
        <v>469</v>
      </c>
      <c r="C63" s="285" t="s">
        <v>754</v>
      </c>
      <c r="D63" s="337"/>
      <c r="E63" s="337">
        <f>+MapaIII!E51</f>
        <v>3000000</v>
      </c>
      <c r="F63" s="337">
        <f t="shared" si="3"/>
        <v>3000000</v>
      </c>
      <c r="G63" s="338">
        <f t="shared" si="2"/>
        <v>6.2251351630915998E-3</v>
      </c>
    </row>
    <row r="64" spans="1:7" x14ac:dyDescent="0.25">
      <c r="A64" s="285" t="s">
        <v>753</v>
      </c>
      <c r="B64" s="285" t="s">
        <v>469</v>
      </c>
      <c r="C64" s="285" t="s">
        <v>755</v>
      </c>
      <c r="D64" s="337"/>
      <c r="E64" s="337"/>
      <c r="F64" s="337">
        <f t="shared" si="3"/>
        <v>0</v>
      </c>
      <c r="G64" s="338">
        <f t="shared" si="2"/>
        <v>0</v>
      </c>
    </row>
    <row r="65" spans="1:7" x14ac:dyDescent="0.25">
      <c r="A65" s="285" t="s">
        <v>753</v>
      </c>
      <c r="B65" s="285" t="s">
        <v>449</v>
      </c>
      <c r="C65" s="285" t="s">
        <v>756</v>
      </c>
      <c r="D65" s="337"/>
      <c r="E65" s="337">
        <f>+MapaIII!E52</f>
        <v>200000</v>
      </c>
      <c r="F65" s="337">
        <f t="shared" si="3"/>
        <v>200000</v>
      </c>
      <c r="G65" s="338">
        <f t="shared" si="2"/>
        <v>4.1500901087277337E-4</v>
      </c>
    </row>
    <row r="66" spans="1:7" x14ac:dyDescent="0.25">
      <c r="A66" s="285" t="s">
        <v>757</v>
      </c>
      <c r="B66" s="285" t="s">
        <v>485</v>
      </c>
      <c r="C66" s="252" t="s">
        <v>758</v>
      </c>
      <c r="D66" s="337"/>
      <c r="E66" s="337">
        <f>+MapaIII!E53</f>
        <v>2300000</v>
      </c>
      <c r="F66" s="337">
        <f t="shared" si="3"/>
        <v>2300000</v>
      </c>
      <c r="G66" s="338">
        <f t="shared" si="2"/>
        <v>4.7726036250368932E-3</v>
      </c>
    </row>
    <row r="67" spans="1:7" x14ac:dyDescent="0.25">
      <c r="A67" s="285" t="s">
        <v>759</v>
      </c>
      <c r="B67" s="285" t="s">
        <v>469</v>
      </c>
      <c r="C67" s="285" t="s">
        <v>760</v>
      </c>
      <c r="D67" s="337"/>
      <c r="E67" s="337">
        <f>+MapaIII!E54</f>
        <v>7000000</v>
      </c>
      <c r="F67" s="337">
        <f t="shared" si="3"/>
        <v>7000000</v>
      </c>
      <c r="G67" s="338">
        <f t="shared" si="2"/>
        <v>1.4525315380547067E-2</v>
      </c>
    </row>
    <row r="68" spans="1:7" x14ac:dyDescent="0.25">
      <c r="A68" s="285" t="s">
        <v>759</v>
      </c>
      <c r="B68" s="285" t="s">
        <v>438</v>
      </c>
      <c r="C68" s="285" t="s">
        <v>761</v>
      </c>
      <c r="D68" s="337"/>
      <c r="E68" s="337">
        <f>+MapaIII!E55</f>
        <v>1700000</v>
      </c>
      <c r="F68" s="337">
        <f t="shared" si="3"/>
        <v>1700000</v>
      </c>
      <c r="G68" s="338">
        <f t="shared" si="2"/>
        <v>3.5275765924185735E-3</v>
      </c>
    </row>
    <row r="69" spans="1:7" x14ac:dyDescent="0.25">
      <c r="A69" s="285" t="s">
        <v>759</v>
      </c>
      <c r="B69" s="285" t="s">
        <v>438</v>
      </c>
      <c r="C69" s="285" t="s">
        <v>1027</v>
      </c>
      <c r="D69" s="337"/>
      <c r="E69" s="337">
        <f>+MapaIII!E56</f>
        <v>1500000</v>
      </c>
      <c r="F69" s="337">
        <f t="shared" si="3"/>
        <v>1500000</v>
      </c>
      <c r="G69" s="338">
        <f t="shared" si="2"/>
        <v>3.1125675815457999E-3</v>
      </c>
    </row>
    <row r="70" spans="1:7" x14ac:dyDescent="0.25">
      <c r="A70" s="285" t="s">
        <v>762</v>
      </c>
      <c r="B70" s="285" t="s">
        <v>485</v>
      </c>
      <c r="C70" s="285" t="s">
        <v>763</v>
      </c>
      <c r="D70" s="337"/>
      <c r="E70" s="337">
        <f>+MapaIII!E57</f>
        <v>33000000</v>
      </c>
      <c r="F70" s="337">
        <f t="shared" si="3"/>
        <v>33000000</v>
      </c>
      <c r="G70" s="338">
        <f t="shared" si="2"/>
        <v>6.8476486794007599E-2</v>
      </c>
    </row>
    <row r="71" spans="1:7" x14ac:dyDescent="0.25">
      <c r="A71" s="746" t="s">
        <v>764</v>
      </c>
      <c r="B71" s="746"/>
      <c r="C71" s="746" t="s">
        <v>765</v>
      </c>
      <c r="D71" s="747"/>
      <c r="E71" s="747">
        <f>+SUM(E72:E74)</f>
        <v>5700000</v>
      </c>
      <c r="F71" s="747">
        <f t="shared" si="3"/>
        <v>5700000</v>
      </c>
      <c r="G71" s="338"/>
    </row>
    <row r="72" spans="1:7" x14ac:dyDescent="0.25">
      <c r="A72" s="746" t="s">
        <v>766</v>
      </c>
      <c r="B72" s="746" t="s">
        <v>449</v>
      </c>
      <c r="C72" s="746" t="s">
        <v>767</v>
      </c>
      <c r="D72" s="747"/>
      <c r="E72" s="747">
        <f>+MapaIII!E59</f>
        <v>200000</v>
      </c>
      <c r="F72" s="747">
        <f t="shared" si="3"/>
        <v>200000</v>
      </c>
      <c r="G72" s="338">
        <f t="shared" si="2"/>
        <v>4.1500901087277337E-4</v>
      </c>
    </row>
    <row r="73" spans="1:7" x14ac:dyDescent="0.25">
      <c r="A73" s="746" t="s">
        <v>712</v>
      </c>
      <c r="B73" s="746"/>
      <c r="C73" s="746" t="s">
        <v>768</v>
      </c>
      <c r="D73" s="747"/>
      <c r="E73" s="747"/>
      <c r="F73" s="747">
        <f t="shared" si="3"/>
        <v>0</v>
      </c>
      <c r="G73" s="338">
        <f t="shared" si="2"/>
        <v>0</v>
      </c>
    </row>
    <row r="74" spans="1:7" x14ac:dyDescent="0.25">
      <c r="A74" s="746" t="s">
        <v>769</v>
      </c>
      <c r="B74" s="746" t="s">
        <v>449</v>
      </c>
      <c r="C74" s="746" t="s">
        <v>770</v>
      </c>
      <c r="D74" s="747"/>
      <c r="E74" s="747">
        <f>+MapaIII!E61</f>
        <v>5500000</v>
      </c>
      <c r="F74" s="747">
        <f t="shared" si="3"/>
        <v>5500000</v>
      </c>
      <c r="G74" s="338">
        <f t="shared" si="2"/>
        <v>1.1412747799001267E-2</v>
      </c>
    </row>
    <row r="75" spans="1:7" x14ac:dyDescent="0.25">
      <c r="A75" s="746" t="s">
        <v>771</v>
      </c>
      <c r="B75" s="746"/>
      <c r="C75" s="746" t="s">
        <v>772</v>
      </c>
      <c r="D75" s="747"/>
      <c r="E75" s="747">
        <f>+SUM(E76:E79)</f>
        <v>7820000</v>
      </c>
      <c r="F75" s="747">
        <f t="shared" si="3"/>
        <v>7820000</v>
      </c>
      <c r="G75" s="338"/>
    </row>
    <row r="76" spans="1:7" x14ac:dyDescent="0.25">
      <c r="A76" s="746" t="s">
        <v>775</v>
      </c>
      <c r="B76" s="746" t="s">
        <v>449</v>
      </c>
      <c r="C76" s="746" t="s">
        <v>776</v>
      </c>
      <c r="D76" s="747"/>
      <c r="E76" s="747">
        <f>+MapaIII!E63</f>
        <v>700000</v>
      </c>
      <c r="F76" s="747">
        <f t="shared" si="3"/>
        <v>700000</v>
      </c>
      <c r="G76" s="338">
        <f t="shared" si="2"/>
        <v>1.4525315380547067E-3</v>
      </c>
    </row>
    <row r="77" spans="1:7" x14ac:dyDescent="0.25">
      <c r="A77" s="746" t="s">
        <v>775</v>
      </c>
      <c r="B77" s="746" t="s">
        <v>449</v>
      </c>
      <c r="C77" s="746" t="s">
        <v>1041</v>
      </c>
      <c r="D77" s="747"/>
      <c r="E77" s="747">
        <f>+MapaIII!E64</f>
        <v>110000</v>
      </c>
      <c r="F77" s="747">
        <f t="shared" si="3"/>
        <v>110000</v>
      </c>
      <c r="G77" s="338">
        <f t="shared" ref="G77:G83" si="4">+F77/$F$9</f>
        <v>2.2825495598002534E-4</v>
      </c>
    </row>
    <row r="78" spans="1:7" x14ac:dyDescent="0.25">
      <c r="A78" s="746" t="s">
        <v>775</v>
      </c>
      <c r="B78" s="746" t="s">
        <v>449</v>
      </c>
      <c r="C78" s="746" t="s">
        <v>774</v>
      </c>
      <c r="D78" s="747"/>
      <c r="E78" s="747">
        <f>+MapaIII!E65</f>
        <v>1010000</v>
      </c>
      <c r="F78" s="747">
        <f t="shared" si="3"/>
        <v>1010000</v>
      </c>
      <c r="G78" s="338">
        <f t="shared" si="4"/>
        <v>2.0957955049075053E-3</v>
      </c>
    </row>
    <row r="79" spans="1:7" x14ac:dyDescent="0.25">
      <c r="A79" s="746" t="s">
        <v>777</v>
      </c>
      <c r="B79" s="746" t="s">
        <v>449</v>
      </c>
      <c r="C79" s="746" t="s">
        <v>778</v>
      </c>
      <c r="D79" s="747"/>
      <c r="E79" s="747">
        <f>+MapaIII!E66</f>
        <v>6000000</v>
      </c>
      <c r="F79" s="747">
        <f t="shared" si="3"/>
        <v>6000000</v>
      </c>
      <c r="G79" s="338">
        <f t="shared" si="4"/>
        <v>1.24502703261832E-2</v>
      </c>
    </row>
    <row r="80" spans="1:7" x14ac:dyDescent="0.25">
      <c r="A80" s="746" t="s">
        <v>779</v>
      </c>
      <c r="B80" s="746"/>
      <c r="C80" s="746" t="s">
        <v>780</v>
      </c>
      <c r="D80" s="747"/>
      <c r="E80" s="747">
        <f>+SUM(E81:E83)</f>
        <v>20300000</v>
      </c>
      <c r="F80" s="747">
        <f t="shared" si="3"/>
        <v>20300000</v>
      </c>
      <c r="G80" s="338"/>
    </row>
    <row r="81" spans="1:7" x14ac:dyDescent="0.25">
      <c r="A81" s="285" t="s">
        <v>782</v>
      </c>
      <c r="B81" s="285" t="s">
        <v>449</v>
      </c>
      <c r="C81" s="285" t="s">
        <v>783</v>
      </c>
      <c r="D81" s="337"/>
      <c r="E81" s="337">
        <f>+MapaIII!E68</f>
        <v>800000</v>
      </c>
      <c r="F81" s="337">
        <f t="shared" si="3"/>
        <v>800000</v>
      </c>
      <c r="G81" s="338">
        <f t="shared" si="4"/>
        <v>1.6600360434910935E-3</v>
      </c>
    </row>
    <row r="82" spans="1:7" x14ac:dyDescent="0.25">
      <c r="A82" s="285" t="s">
        <v>782</v>
      </c>
      <c r="B82" s="285" t="s">
        <v>449</v>
      </c>
      <c r="C82" s="285" t="s">
        <v>873</v>
      </c>
      <c r="D82" s="337"/>
      <c r="E82" s="337">
        <f>+MapaIII!E69</f>
        <v>2500000</v>
      </c>
      <c r="F82" s="337">
        <f t="shared" si="3"/>
        <v>2500000</v>
      </c>
      <c r="G82" s="338">
        <f t="shared" si="4"/>
        <v>5.1876126359096672E-3</v>
      </c>
    </row>
    <row r="83" spans="1:7" x14ac:dyDescent="0.25">
      <c r="A83" s="285" t="s">
        <v>781</v>
      </c>
      <c r="B83" s="285" t="s">
        <v>469</v>
      </c>
      <c r="C83" s="285" t="s">
        <v>784</v>
      </c>
      <c r="D83" s="337"/>
      <c r="E83" s="337">
        <f>+MapaIII!E70</f>
        <v>17000000</v>
      </c>
      <c r="F83" s="337">
        <f t="shared" si="3"/>
        <v>17000000</v>
      </c>
      <c r="G83" s="338">
        <f t="shared" si="4"/>
        <v>3.5275765924185735E-2</v>
      </c>
    </row>
    <row r="84" spans="1:7" x14ac:dyDescent="0.25">
      <c r="A84" s="340"/>
      <c r="B84" s="340"/>
      <c r="C84" s="340"/>
      <c r="D84" s="341"/>
      <c r="E84" s="341"/>
      <c r="F84" s="341"/>
      <c r="G84" s="342"/>
    </row>
    <row r="86" spans="1:7" x14ac:dyDescent="0.25">
      <c r="A86" s="71" t="s">
        <v>825</v>
      </c>
    </row>
    <row r="88" spans="1:7" x14ac:dyDescent="0.25">
      <c r="A88" s="71" t="s">
        <v>376</v>
      </c>
    </row>
    <row r="90" spans="1:7" x14ac:dyDescent="0.25">
      <c r="A90" s="71" t="s">
        <v>377</v>
      </c>
    </row>
    <row r="91" spans="1:7" x14ac:dyDescent="0.25">
      <c r="A91" s="71" t="s">
        <v>378</v>
      </c>
    </row>
  </sheetData>
  <pageMargins left="0.70866141732283472" right="0.70866141732283472" top="0" bottom="0" header="0.31496062992125984" footer="0.31496062992125984"/>
  <pageSetup paperSize="9" scale="44" fitToHeight="0" orientation="portrait" r:id="rId1"/>
  <colBreaks count="1" manualBreakCount="1">
    <brk id="7" max="10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0"/>
  <sheetViews>
    <sheetView zoomScaleNormal="100" workbookViewId="0">
      <selection activeCell="G5" sqref="G5"/>
    </sheetView>
  </sheetViews>
  <sheetFormatPr defaultColWidth="15.28515625" defaultRowHeight="15" x14ac:dyDescent="0.25"/>
  <cols>
    <col min="1" max="1" width="6.7109375" style="114" customWidth="1"/>
    <col min="2" max="2" width="4.28515625" style="114" customWidth="1"/>
    <col min="3" max="3" width="18" style="368" customWidth="1"/>
    <col min="4" max="4" width="84.42578125" style="114" customWidth="1"/>
    <col min="5" max="5" width="19.28515625" style="114" customWidth="1"/>
    <col min="6" max="6" width="21.85546875" style="114" customWidth="1"/>
    <col min="7" max="7" width="21.42578125" style="114" customWidth="1"/>
    <col min="8" max="8" width="18.140625" style="114" hidden="1" customWidth="1"/>
    <col min="9" max="9" width="20.7109375" style="114" customWidth="1"/>
    <col min="10" max="10" width="20.5703125" style="114" bestFit="1" customWidth="1"/>
    <col min="11" max="11" width="17.7109375" style="114" bestFit="1" customWidth="1"/>
    <col min="12" max="16384" width="15.28515625" style="114"/>
  </cols>
  <sheetData>
    <row r="1" spans="1:13" x14ac:dyDescent="0.25">
      <c r="C1" s="114"/>
    </row>
    <row r="2" spans="1:13" x14ac:dyDescent="0.25">
      <c r="C2" s="114"/>
    </row>
    <row r="3" spans="1:13" x14ac:dyDescent="0.25">
      <c r="C3" s="114"/>
    </row>
    <row r="4" spans="1:13" x14ac:dyDescent="0.25">
      <c r="C4" s="114"/>
    </row>
    <row r="5" spans="1:13" x14ac:dyDescent="0.25">
      <c r="C5" s="114"/>
    </row>
    <row r="6" spans="1:13" ht="15" customHeight="1" x14ac:dyDescent="0.25">
      <c r="A6" s="343" t="s">
        <v>0</v>
      </c>
      <c r="B6" s="343"/>
      <c r="C6" s="343"/>
      <c r="D6" s="343"/>
      <c r="E6" s="343"/>
      <c r="F6" s="344"/>
      <c r="G6" s="343"/>
      <c r="H6" s="343"/>
      <c r="I6" s="343"/>
    </row>
    <row r="7" spans="1:13" ht="15" customHeight="1" x14ac:dyDescent="0.25">
      <c r="A7" s="343" t="s">
        <v>1</v>
      </c>
      <c r="B7" s="343"/>
      <c r="C7" s="343"/>
      <c r="D7" s="343"/>
      <c r="E7" s="343"/>
      <c r="F7" s="343"/>
      <c r="G7" s="343"/>
      <c r="H7" s="343"/>
      <c r="I7" s="343"/>
      <c r="J7" s="114">
        <f>124505000-74433341</f>
        <v>50071659</v>
      </c>
    </row>
    <row r="8" spans="1:13" ht="20.25" customHeight="1" x14ac:dyDescent="0.25">
      <c r="A8" s="345" t="s">
        <v>1126</v>
      </c>
      <c r="B8" s="345"/>
      <c r="C8" s="345"/>
      <c r="D8" s="345"/>
      <c r="E8" s="345"/>
      <c r="F8" s="345"/>
      <c r="G8" s="345"/>
      <c r="H8" s="345"/>
      <c r="I8" s="345"/>
      <c r="J8" s="346"/>
    </row>
    <row r="9" spans="1:13" ht="18" customHeight="1" x14ac:dyDescent="0.25">
      <c r="A9" s="347" t="s">
        <v>826</v>
      </c>
      <c r="B9" s="347"/>
      <c r="C9" s="347"/>
      <c r="D9" s="347"/>
      <c r="E9" s="347"/>
      <c r="F9" s="347"/>
      <c r="G9" s="347"/>
      <c r="H9" s="347"/>
      <c r="I9" s="347"/>
      <c r="J9" s="346">
        <f>+F14+G14</f>
        <v>180750000</v>
      </c>
    </row>
    <row r="10" spans="1:13" ht="14.1" customHeight="1" x14ac:dyDescent="0.25">
      <c r="C10" s="348"/>
      <c r="D10" s="349"/>
      <c r="E10" s="350"/>
      <c r="F10" s="350"/>
      <c r="G10" s="350"/>
      <c r="H10" s="350"/>
      <c r="I10" s="350"/>
      <c r="J10" s="346"/>
    </row>
    <row r="11" spans="1:13" ht="24" customHeight="1" x14ac:dyDescent="0.25">
      <c r="A11" s="351" t="s">
        <v>827</v>
      </c>
      <c r="B11" s="515" t="s">
        <v>828</v>
      </c>
      <c r="C11" s="515" t="s">
        <v>829</v>
      </c>
      <c r="D11" s="516" t="s">
        <v>4</v>
      </c>
      <c r="E11" s="517" t="s">
        <v>830</v>
      </c>
      <c r="F11" s="517"/>
      <c r="G11" s="517"/>
      <c r="H11" s="517"/>
      <c r="I11" s="517"/>
      <c r="J11" s="352"/>
      <c r="K11" s="353">
        <f>187000000+I14</f>
        <v>461920000</v>
      </c>
    </row>
    <row r="12" spans="1:13" ht="14.25" customHeight="1" x14ac:dyDescent="0.3">
      <c r="A12" s="351"/>
      <c r="B12" s="515"/>
      <c r="C12" s="515"/>
      <c r="D12" s="516"/>
      <c r="E12" s="518" t="s">
        <v>831</v>
      </c>
      <c r="F12" s="517" t="s">
        <v>832</v>
      </c>
      <c r="G12" s="517" t="s">
        <v>833</v>
      </c>
      <c r="H12" s="517" t="s">
        <v>834</v>
      </c>
      <c r="I12" s="517" t="s">
        <v>7</v>
      </c>
    </row>
    <row r="13" spans="1:13" s="583" customFormat="1" ht="22.5" customHeight="1" x14ac:dyDescent="0.3">
      <c r="A13" s="515"/>
      <c r="B13" s="515"/>
      <c r="C13" s="515"/>
      <c r="D13" s="516"/>
      <c r="E13" s="518"/>
      <c r="F13" s="517"/>
      <c r="G13" s="517"/>
      <c r="H13" s="517"/>
      <c r="I13" s="517"/>
      <c r="J13" s="579"/>
      <c r="K13" s="580"/>
      <c r="L13" s="581"/>
      <c r="M13" s="582"/>
    </row>
    <row r="14" spans="1:13" s="583" customFormat="1" ht="22.5" customHeight="1" x14ac:dyDescent="0.25">
      <c r="A14" s="519"/>
      <c r="B14" s="519"/>
      <c r="C14" s="520"/>
      <c r="D14" s="521" t="s">
        <v>812</v>
      </c>
      <c r="E14" s="522">
        <f>+E15+E22+E32+E58+E71+E116</f>
        <v>94170000</v>
      </c>
      <c r="F14" s="522">
        <f>+F15+F22+F32+F58+F71+F116</f>
        <v>114400000</v>
      </c>
      <c r="G14" s="522">
        <f>+G15+G22+G32+G58+G71+G116</f>
        <v>66350000</v>
      </c>
      <c r="H14" s="522">
        <f>H15+H22+H32+H58+H71+H116</f>
        <v>0</v>
      </c>
      <c r="I14" s="522">
        <f>+SUM(E14:H14)</f>
        <v>274920000</v>
      </c>
      <c r="J14" s="584"/>
      <c r="K14" s="582"/>
      <c r="L14" s="582"/>
      <c r="M14" s="582"/>
    </row>
    <row r="15" spans="1:13" s="583" customFormat="1" ht="15.95" customHeight="1" x14ac:dyDescent="0.25">
      <c r="A15" s="519">
        <v>1</v>
      </c>
      <c r="B15" s="519"/>
      <c r="C15" s="520"/>
      <c r="D15" s="541" t="s">
        <v>835</v>
      </c>
      <c r="E15" s="542">
        <f>E19+E16</f>
        <v>2100000</v>
      </c>
      <c r="F15" s="542">
        <f>F19+F16</f>
        <v>0</v>
      </c>
      <c r="G15" s="542">
        <f>G19+G16</f>
        <v>0</v>
      </c>
      <c r="H15" s="542">
        <f>H19+H16</f>
        <v>0</v>
      </c>
      <c r="I15" s="542">
        <f>+SUM(E15:H15)</f>
        <v>2100000</v>
      </c>
      <c r="J15" s="584" t="e">
        <f>+MATCH(D18,'inv rubricas'!D:D,0)</f>
        <v>#N/A</v>
      </c>
      <c r="K15" s="582"/>
      <c r="L15" s="582"/>
      <c r="M15" s="582"/>
    </row>
    <row r="16" spans="1:13" s="583" customFormat="1" ht="15.95" hidden="1" customHeight="1" x14ac:dyDescent="0.25">
      <c r="A16" s="519"/>
      <c r="B16" s="519">
        <v>1</v>
      </c>
      <c r="C16" s="520"/>
      <c r="D16" s="541" t="s">
        <v>836</v>
      </c>
      <c r="E16" s="542">
        <f t="shared" ref="E16:H17" si="0">E17</f>
        <v>0</v>
      </c>
      <c r="F16" s="542">
        <f t="shared" si="0"/>
        <v>0</v>
      </c>
      <c r="G16" s="542">
        <f t="shared" si="0"/>
        <v>0</v>
      </c>
      <c r="H16" s="542">
        <f t="shared" si="0"/>
        <v>0</v>
      </c>
      <c r="I16" s="542">
        <f t="shared" ref="I16:I31" si="1">+SUM(E16:H16)</f>
        <v>0</v>
      </c>
      <c r="J16" s="584"/>
      <c r="K16" s="582"/>
      <c r="L16" s="582"/>
      <c r="M16" s="582"/>
    </row>
    <row r="17" spans="1:13" s="583" customFormat="1" ht="0.75" customHeight="1" x14ac:dyDescent="0.25">
      <c r="A17" s="519"/>
      <c r="B17" s="519"/>
      <c r="C17" s="520">
        <v>1</v>
      </c>
      <c r="D17" s="541" t="s">
        <v>837</v>
      </c>
      <c r="E17" s="542">
        <f t="shared" si="0"/>
        <v>0</v>
      </c>
      <c r="F17" s="542">
        <f t="shared" si="0"/>
        <v>0</v>
      </c>
      <c r="G17" s="542">
        <f t="shared" si="0"/>
        <v>0</v>
      </c>
      <c r="H17" s="542">
        <f t="shared" si="0"/>
        <v>0</v>
      </c>
      <c r="I17" s="542">
        <f t="shared" si="1"/>
        <v>0</v>
      </c>
      <c r="J17" s="584"/>
      <c r="K17" s="582"/>
      <c r="L17" s="582"/>
      <c r="M17" s="582"/>
    </row>
    <row r="18" spans="1:13" s="583" customFormat="1" ht="15.95" hidden="1" customHeight="1" x14ac:dyDescent="0.25">
      <c r="A18" s="523"/>
      <c r="B18" s="523"/>
      <c r="C18" s="524" t="s">
        <v>449</v>
      </c>
      <c r="D18" s="543"/>
      <c r="E18" s="558"/>
      <c r="F18" s="544">
        <v>0</v>
      </c>
      <c r="G18" s="544">
        <v>0</v>
      </c>
      <c r="H18" s="544">
        <v>0</v>
      </c>
      <c r="I18" s="544">
        <f t="shared" si="1"/>
        <v>0</v>
      </c>
      <c r="J18" s="584"/>
      <c r="K18" s="585"/>
      <c r="L18" s="585"/>
      <c r="M18" s="585"/>
    </row>
    <row r="19" spans="1:13" s="583" customFormat="1" ht="15.95" customHeight="1" x14ac:dyDescent="0.25">
      <c r="A19" s="519">
        <v>1</v>
      </c>
      <c r="B19" s="525" t="s">
        <v>839</v>
      </c>
      <c r="C19" s="520"/>
      <c r="D19" s="541" t="s">
        <v>840</v>
      </c>
      <c r="E19" s="542">
        <f>E20</f>
        <v>2100000</v>
      </c>
      <c r="F19" s="542">
        <f>F20</f>
        <v>0</v>
      </c>
      <c r="G19" s="542">
        <f>G20</f>
        <v>0</v>
      </c>
      <c r="H19" s="542">
        <f>H20</f>
        <v>0</v>
      </c>
      <c r="I19" s="542">
        <f t="shared" si="1"/>
        <v>2100000</v>
      </c>
      <c r="K19" s="582"/>
      <c r="L19" s="582"/>
      <c r="M19" s="582"/>
    </row>
    <row r="20" spans="1:13" s="583" customFormat="1" ht="15.95" customHeight="1" x14ac:dyDescent="0.25">
      <c r="A20" s="519"/>
      <c r="B20" s="525"/>
      <c r="C20" s="520"/>
      <c r="D20" s="541" t="s">
        <v>841</v>
      </c>
      <c r="E20" s="542">
        <f>+E21</f>
        <v>2100000</v>
      </c>
      <c r="F20" s="542">
        <f>+F21</f>
        <v>0</v>
      </c>
      <c r="G20" s="542">
        <f>+G21</f>
        <v>0</v>
      </c>
      <c r="H20" s="542">
        <f>+H21</f>
        <v>0</v>
      </c>
      <c r="I20" s="542">
        <f t="shared" si="1"/>
        <v>2100000</v>
      </c>
      <c r="K20" s="582"/>
      <c r="L20" s="582"/>
      <c r="M20" s="582"/>
    </row>
    <row r="21" spans="1:13" s="583" customFormat="1" ht="15.95" customHeight="1" x14ac:dyDescent="0.25">
      <c r="A21" s="523"/>
      <c r="B21" s="523"/>
      <c r="C21" s="524" t="s">
        <v>469</v>
      </c>
      <c r="D21" s="545" t="s">
        <v>1131</v>
      </c>
      <c r="E21" s="546">
        <v>2100000</v>
      </c>
      <c r="F21" s="544">
        <v>0</v>
      </c>
      <c r="G21" s="544">
        <v>0</v>
      </c>
      <c r="H21" s="544">
        <v>0</v>
      </c>
      <c r="I21" s="544">
        <f t="shared" si="1"/>
        <v>2100000</v>
      </c>
      <c r="J21" s="584">
        <f>+MATCH(D21,'inv rubricas'!D:D,0)</f>
        <v>2</v>
      </c>
      <c r="K21" s="585"/>
      <c r="L21" s="585"/>
      <c r="M21" s="585"/>
    </row>
    <row r="22" spans="1:13" s="583" customFormat="1" ht="15.95" customHeight="1" x14ac:dyDescent="0.25">
      <c r="A22" s="519">
        <v>2</v>
      </c>
      <c r="B22" s="525"/>
      <c r="C22" s="519"/>
      <c r="D22" s="547" t="s">
        <v>842</v>
      </c>
      <c r="E22" s="548">
        <f>+E23+E29</f>
        <v>650000</v>
      </c>
      <c r="F22" s="548">
        <f>+F23+F29</f>
        <v>0</v>
      </c>
      <c r="G22" s="548">
        <f>+G23+G29</f>
        <v>0</v>
      </c>
      <c r="H22" s="548">
        <f>SUM(H23)</f>
        <v>0</v>
      </c>
      <c r="I22" s="548">
        <f t="shared" si="1"/>
        <v>650000</v>
      </c>
      <c r="K22" s="582"/>
      <c r="L22" s="582"/>
      <c r="M22" s="582"/>
    </row>
    <row r="23" spans="1:13" s="583" customFormat="1" ht="15.95" customHeight="1" x14ac:dyDescent="0.25">
      <c r="A23" s="519">
        <v>2</v>
      </c>
      <c r="B23" s="525" t="s">
        <v>843</v>
      </c>
      <c r="C23" s="520"/>
      <c r="D23" s="541" t="s">
        <v>844</v>
      </c>
      <c r="E23" s="542">
        <f>+E24+E26+E28</f>
        <v>500000</v>
      </c>
      <c r="F23" s="542">
        <f>F24+F28+F26</f>
        <v>0</v>
      </c>
      <c r="G23" s="542">
        <f>+G24+G26+G28</f>
        <v>0</v>
      </c>
      <c r="H23" s="542">
        <f>H24+H28+H26</f>
        <v>0</v>
      </c>
      <c r="I23" s="542">
        <f t="shared" si="1"/>
        <v>500000</v>
      </c>
      <c r="K23" s="582"/>
      <c r="L23" s="582"/>
      <c r="M23" s="582"/>
    </row>
    <row r="24" spans="1:13" s="583" customFormat="1" ht="15.95" customHeight="1" x14ac:dyDescent="0.25">
      <c r="A24" s="519"/>
      <c r="B24" s="519">
        <v>2</v>
      </c>
      <c r="C24" s="520"/>
      <c r="D24" s="541" t="s">
        <v>845</v>
      </c>
      <c r="E24" s="542">
        <f>+SUM(E25:E25)</f>
        <v>500000</v>
      </c>
      <c r="F24" s="542">
        <f>+SUM(F25:F25)</f>
        <v>0</v>
      </c>
      <c r="G24" s="542">
        <f>+SUM(G25:G25)</f>
        <v>0</v>
      </c>
      <c r="H24" s="542">
        <f>+SUM(H25:H25)</f>
        <v>0</v>
      </c>
      <c r="I24" s="542">
        <f t="shared" si="1"/>
        <v>500000</v>
      </c>
      <c r="K24" s="582"/>
      <c r="L24" s="582"/>
      <c r="M24" s="582"/>
    </row>
    <row r="25" spans="1:13" s="583" customFormat="1" ht="15.95" customHeight="1" x14ac:dyDescent="0.25">
      <c r="A25" s="526"/>
      <c r="B25" s="526"/>
      <c r="C25" s="527" t="s">
        <v>500</v>
      </c>
      <c r="D25" s="545" t="s">
        <v>1136</v>
      </c>
      <c r="E25" s="549">
        <v>500000</v>
      </c>
      <c r="F25" s="544">
        <v>0</v>
      </c>
      <c r="G25" s="544">
        <v>0</v>
      </c>
      <c r="H25" s="544">
        <v>0</v>
      </c>
      <c r="I25" s="544">
        <f t="shared" si="1"/>
        <v>500000</v>
      </c>
      <c r="J25" s="584">
        <f>+MATCH(D25,'inv rubricas'!D:D,0)</f>
        <v>3</v>
      </c>
    </row>
    <row r="26" spans="1:13" s="583" customFormat="1" ht="15.95" hidden="1" customHeight="1" x14ac:dyDescent="0.25">
      <c r="A26" s="519"/>
      <c r="B26" s="519">
        <v>3</v>
      </c>
      <c r="C26" s="520"/>
      <c r="D26" s="541" t="s">
        <v>847</v>
      </c>
      <c r="E26" s="550">
        <f>+SUM(E27:E27)</f>
        <v>0</v>
      </c>
      <c r="F26" s="550">
        <f>+SUM(F27:F27)</f>
        <v>0</v>
      </c>
      <c r="G26" s="550">
        <f>+SUM(G27:G27)</f>
        <v>0</v>
      </c>
      <c r="H26" s="550">
        <f>+SUM(H27:H27)</f>
        <v>0</v>
      </c>
      <c r="I26" s="550">
        <f t="shared" si="1"/>
        <v>0</v>
      </c>
    </row>
    <row r="27" spans="1:13" s="583" customFormat="1" ht="15.95" hidden="1" customHeight="1" x14ac:dyDescent="0.25">
      <c r="A27" s="519"/>
      <c r="B27" s="519"/>
      <c r="C27" s="524" t="s">
        <v>449</v>
      </c>
      <c r="D27" s="556"/>
      <c r="E27" s="549"/>
      <c r="F27" s="544"/>
      <c r="G27" s="544">
        <v>0</v>
      </c>
      <c r="H27" s="544">
        <v>0</v>
      </c>
      <c r="I27" s="544">
        <f t="shared" si="1"/>
        <v>0</v>
      </c>
      <c r="J27" s="584"/>
    </row>
    <row r="28" spans="1:13" s="583" customFormat="1" ht="15.95" hidden="1" customHeight="1" x14ac:dyDescent="0.25">
      <c r="A28" s="519"/>
      <c r="B28" s="519">
        <v>4</v>
      </c>
      <c r="C28" s="520"/>
      <c r="D28" s="541" t="s">
        <v>849</v>
      </c>
      <c r="E28" s="551">
        <v>0</v>
      </c>
      <c r="F28" s="542">
        <v>0</v>
      </c>
      <c r="G28" s="542">
        <v>0</v>
      </c>
      <c r="H28" s="542">
        <v>0</v>
      </c>
      <c r="I28" s="542">
        <f t="shared" si="1"/>
        <v>0</v>
      </c>
    </row>
    <row r="29" spans="1:13" s="583" customFormat="1" ht="15.95" customHeight="1" x14ac:dyDescent="0.25">
      <c r="A29" s="586">
        <v>2</v>
      </c>
      <c r="B29" s="525" t="s">
        <v>850</v>
      </c>
      <c r="C29" s="528"/>
      <c r="D29" s="541" t="s">
        <v>851</v>
      </c>
      <c r="E29" s="552">
        <f>E30</f>
        <v>150000</v>
      </c>
      <c r="F29" s="552">
        <f>F30</f>
        <v>0</v>
      </c>
      <c r="G29" s="552">
        <f>G30</f>
        <v>0</v>
      </c>
      <c r="H29" s="552">
        <f>H30</f>
        <v>0</v>
      </c>
      <c r="I29" s="552">
        <f t="shared" si="1"/>
        <v>150000</v>
      </c>
    </row>
    <row r="30" spans="1:13" s="583" customFormat="1" ht="15.95" customHeight="1" x14ac:dyDescent="0.25">
      <c r="A30" s="528"/>
      <c r="B30" s="519">
        <v>1</v>
      </c>
      <c r="C30" s="528"/>
      <c r="D30" s="541" t="s">
        <v>852</v>
      </c>
      <c r="E30" s="552">
        <f>+SUM(E31:E31)</f>
        <v>150000</v>
      </c>
      <c r="F30" s="552">
        <f>+SUM(F31:F31)</f>
        <v>0</v>
      </c>
      <c r="G30" s="552">
        <f>+SUM(G31:G31)</f>
        <v>0</v>
      </c>
      <c r="H30" s="552">
        <f>+SUM(H31:H31)</f>
        <v>0</v>
      </c>
      <c r="I30" s="552">
        <f t="shared" si="1"/>
        <v>150000</v>
      </c>
    </row>
    <row r="31" spans="1:13" s="583" customFormat="1" ht="15.95" customHeight="1" x14ac:dyDescent="0.25">
      <c r="A31" s="526"/>
      <c r="B31" s="526"/>
      <c r="C31" s="527" t="s">
        <v>433</v>
      </c>
      <c r="D31" s="597" t="s">
        <v>853</v>
      </c>
      <c r="E31" s="549">
        <v>150000</v>
      </c>
      <c r="F31" s="544">
        <v>0</v>
      </c>
      <c r="G31" s="544">
        <v>0</v>
      </c>
      <c r="H31" s="544">
        <v>0</v>
      </c>
      <c r="I31" s="544">
        <f t="shared" si="1"/>
        <v>150000</v>
      </c>
      <c r="J31" s="584">
        <f>+MATCH(D31,'inv rubricas'!D:D,0)</f>
        <v>4</v>
      </c>
    </row>
    <row r="32" spans="1:13" s="583" customFormat="1" ht="15.95" customHeight="1" x14ac:dyDescent="0.25">
      <c r="A32" s="519">
        <v>3</v>
      </c>
      <c r="B32" s="525"/>
      <c r="C32" s="529"/>
      <c r="D32" s="553" t="s">
        <v>807</v>
      </c>
      <c r="E32" s="554">
        <f>E33+E41+E46+E50+E54</f>
        <v>14220000</v>
      </c>
      <c r="F32" s="554">
        <f>F33+F41+F46+F50+F54</f>
        <v>6900000</v>
      </c>
      <c r="G32" s="554">
        <f>G33+G41+G46+G50+G54</f>
        <v>3700000</v>
      </c>
      <c r="H32" s="554">
        <f>H33+H41+H46+H50+H54</f>
        <v>0</v>
      </c>
      <c r="I32" s="554">
        <f>I33+I41+I46+I50+I54</f>
        <v>24820000</v>
      </c>
    </row>
    <row r="33" spans="1:10" s="583" customFormat="1" ht="15.95" customHeight="1" x14ac:dyDescent="0.25">
      <c r="A33" s="519">
        <v>3</v>
      </c>
      <c r="B33" s="525" t="s">
        <v>843</v>
      </c>
      <c r="C33" s="529"/>
      <c r="D33" s="555" t="s">
        <v>772</v>
      </c>
      <c r="E33" s="554">
        <f>+E34+E37+E39</f>
        <v>3920000</v>
      </c>
      <c r="F33" s="554">
        <f>+F34+F37+F39</f>
        <v>3900000</v>
      </c>
      <c r="G33" s="554">
        <f>+G34+G37+G39</f>
        <v>0</v>
      </c>
      <c r="H33" s="554">
        <f>+H34+H37+H39</f>
        <v>0</v>
      </c>
      <c r="I33" s="554">
        <f>+SUM(E33:H33)</f>
        <v>7820000</v>
      </c>
    </row>
    <row r="34" spans="1:10" s="583" customFormat="1" ht="15.95" customHeight="1" x14ac:dyDescent="0.25">
      <c r="A34" s="519"/>
      <c r="B34" s="519">
        <v>1</v>
      </c>
      <c r="C34" s="529"/>
      <c r="D34" s="555" t="s">
        <v>854</v>
      </c>
      <c r="E34" s="554">
        <f>+SUM(E35:E36)</f>
        <v>220000</v>
      </c>
      <c r="F34" s="554">
        <f>+SUM(F35:F36)</f>
        <v>900000</v>
      </c>
      <c r="G34" s="554">
        <f>+SUM(G35:G36)</f>
        <v>0</v>
      </c>
      <c r="H34" s="554">
        <f>+SUM(H35:H36)</f>
        <v>0</v>
      </c>
      <c r="I34" s="554">
        <f>+SUM(I35:I36)</f>
        <v>1120000</v>
      </c>
    </row>
    <row r="35" spans="1:10" s="583" customFormat="1" ht="15.95" customHeight="1" x14ac:dyDescent="0.25">
      <c r="A35" s="526"/>
      <c r="B35" s="526"/>
      <c r="C35" s="527" t="s">
        <v>449</v>
      </c>
      <c r="D35" s="545" t="s">
        <v>773</v>
      </c>
      <c r="E35" s="546">
        <v>110000</v>
      </c>
      <c r="F35" s="546"/>
      <c r="G35" s="544">
        <v>0</v>
      </c>
      <c r="H35" s="544">
        <v>0</v>
      </c>
      <c r="I35" s="544">
        <f t="shared" ref="I35:I60" si="2">+SUM(E35:H35)</f>
        <v>110000</v>
      </c>
      <c r="J35" s="584">
        <f>+MATCH(D35,'inv rubricas'!D:D,0)</f>
        <v>5</v>
      </c>
    </row>
    <row r="36" spans="1:10" s="583" customFormat="1" ht="15.95" customHeight="1" x14ac:dyDescent="0.25">
      <c r="A36" s="526"/>
      <c r="B36" s="526"/>
      <c r="C36" s="527" t="s">
        <v>449</v>
      </c>
      <c r="D36" s="545" t="s">
        <v>1040</v>
      </c>
      <c r="E36" s="546">
        <v>110000</v>
      </c>
      <c r="F36" s="546">
        <v>900000</v>
      </c>
      <c r="G36" s="544">
        <v>0</v>
      </c>
      <c r="H36" s="544">
        <v>0</v>
      </c>
      <c r="I36" s="544">
        <f t="shared" si="2"/>
        <v>1010000</v>
      </c>
      <c r="J36" s="584">
        <f>+MATCH(D36,'inv rubricas'!D:D,0)</f>
        <v>6</v>
      </c>
    </row>
    <row r="37" spans="1:10" s="583" customFormat="1" ht="15.95" customHeight="1" x14ac:dyDescent="0.25">
      <c r="A37" s="519"/>
      <c r="B37" s="519">
        <v>3</v>
      </c>
      <c r="C37" s="529"/>
      <c r="D37" s="555" t="s">
        <v>857</v>
      </c>
      <c r="E37" s="554">
        <f>E38</f>
        <v>3000000</v>
      </c>
      <c r="F37" s="554">
        <f>F38</f>
        <v>3000000</v>
      </c>
      <c r="G37" s="542">
        <f>G38</f>
        <v>0</v>
      </c>
      <c r="H37" s="542">
        <f>H38</f>
        <v>0</v>
      </c>
      <c r="I37" s="542">
        <f t="shared" si="2"/>
        <v>6000000</v>
      </c>
    </row>
    <row r="38" spans="1:10" s="583" customFormat="1" ht="15.95" customHeight="1" x14ac:dyDescent="0.25">
      <c r="A38" s="526"/>
      <c r="B38" s="526"/>
      <c r="C38" s="527" t="s">
        <v>449</v>
      </c>
      <c r="D38" s="545" t="s">
        <v>778</v>
      </c>
      <c r="E38" s="546">
        <v>3000000</v>
      </c>
      <c r="F38" s="546">
        <v>3000000</v>
      </c>
      <c r="G38" s="544"/>
      <c r="H38" s="544">
        <v>0</v>
      </c>
      <c r="I38" s="544">
        <f t="shared" si="2"/>
        <v>6000000</v>
      </c>
      <c r="J38" s="584">
        <f>+MATCH(D38,'inv rubricas'!D:D,0)</f>
        <v>7</v>
      </c>
    </row>
    <row r="39" spans="1:10" s="583" customFormat="1" ht="15.95" customHeight="1" x14ac:dyDescent="0.25">
      <c r="A39" s="526"/>
      <c r="B39" s="530">
        <v>4</v>
      </c>
      <c r="C39" s="529"/>
      <c r="D39" s="555" t="s">
        <v>858</v>
      </c>
      <c r="E39" s="554">
        <f>+E40</f>
        <v>700000</v>
      </c>
      <c r="F39" s="554">
        <f>+F40</f>
        <v>0</v>
      </c>
      <c r="G39" s="542">
        <f>+G40</f>
        <v>0</v>
      </c>
      <c r="H39" s="542">
        <f>+H40</f>
        <v>0</v>
      </c>
      <c r="I39" s="542">
        <f t="shared" si="2"/>
        <v>700000</v>
      </c>
    </row>
    <row r="40" spans="1:10" s="583" customFormat="1" ht="15.95" customHeight="1" x14ac:dyDescent="0.25">
      <c r="A40" s="526"/>
      <c r="B40" s="526"/>
      <c r="C40" s="527" t="s">
        <v>449</v>
      </c>
      <c r="D40" s="545" t="s">
        <v>776</v>
      </c>
      <c r="E40" s="546">
        <v>700000</v>
      </c>
      <c r="F40" s="546">
        <v>0</v>
      </c>
      <c r="G40" s="544"/>
      <c r="H40" s="544">
        <v>0</v>
      </c>
      <c r="I40" s="544">
        <f t="shared" si="2"/>
        <v>700000</v>
      </c>
      <c r="J40" s="584">
        <f>+MATCH(D40,'inv rubricas'!D:D,0)</f>
        <v>8</v>
      </c>
    </row>
    <row r="41" spans="1:10" s="583" customFormat="1" ht="15.95" customHeight="1" x14ac:dyDescent="0.25">
      <c r="A41" s="519">
        <v>3</v>
      </c>
      <c r="B41" s="525" t="s">
        <v>850</v>
      </c>
      <c r="C41" s="529"/>
      <c r="D41" s="555" t="s">
        <v>859</v>
      </c>
      <c r="E41" s="554">
        <f>E42</f>
        <v>6500000</v>
      </c>
      <c r="F41" s="554">
        <f>F42</f>
        <v>0</v>
      </c>
      <c r="G41" s="542">
        <f>G42</f>
        <v>0</v>
      </c>
      <c r="H41" s="542">
        <f>H42</f>
        <v>0</v>
      </c>
      <c r="I41" s="542">
        <f t="shared" si="2"/>
        <v>6500000</v>
      </c>
    </row>
    <row r="42" spans="1:10" s="583" customFormat="1" ht="15.95" customHeight="1" x14ac:dyDescent="0.25">
      <c r="A42" s="519"/>
      <c r="B42" s="519">
        <v>1</v>
      </c>
      <c r="C42" s="529"/>
      <c r="D42" s="555" t="s">
        <v>860</v>
      </c>
      <c r="E42" s="554">
        <f>+SUM(E43:E45)</f>
        <v>6500000</v>
      </c>
      <c r="F42" s="554">
        <f>+SUM(F43:F45)</f>
        <v>0</v>
      </c>
      <c r="G42" s="554">
        <f>+SUM(G43:G45)</f>
        <v>0</v>
      </c>
      <c r="H42" s="554">
        <f>+SUM(H43:H45)</f>
        <v>0</v>
      </c>
      <c r="I42" s="554">
        <f t="shared" si="2"/>
        <v>6500000</v>
      </c>
    </row>
    <row r="43" spans="1:10" s="583" customFormat="1" ht="15.95" customHeight="1" x14ac:dyDescent="0.25">
      <c r="A43" s="526"/>
      <c r="B43" s="526"/>
      <c r="C43" s="527" t="s">
        <v>469</v>
      </c>
      <c r="D43" s="597" t="s">
        <v>1133</v>
      </c>
      <c r="E43" s="546">
        <v>1500000</v>
      </c>
      <c r="F43" s="546">
        <v>0</v>
      </c>
      <c r="G43" s="544"/>
      <c r="H43" s="544">
        <v>0</v>
      </c>
      <c r="I43" s="544">
        <f t="shared" si="2"/>
        <v>1500000</v>
      </c>
      <c r="J43" s="584">
        <f>+MATCH(D43,'inv rubricas'!D:D,0)</f>
        <v>9</v>
      </c>
    </row>
    <row r="44" spans="1:10" s="583" customFormat="1" ht="15.95" customHeight="1" x14ac:dyDescent="0.25">
      <c r="A44" s="526"/>
      <c r="B44" s="526"/>
      <c r="C44" s="527" t="s">
        <v>469</v>
      </c>
      <c r="D44" s="545" t="s">
        <v>861</v>
      </c>
      <c r="E44" s="546">
        <v>2000000</v>
      </c>
      <c r="F44" s="557"/>
      <c r="G44" s="558"/>
      <c r="H44" s="558"/>
      <c r="I44" s="544">
        <f t="shared" si="2"/>
        <v>2000000</v>
      </c>
      <c r="J44" s="584">
        <f>+MATCH(D44,'inv rubricas'!D:D,0)</f>
        <v>11</v>
      </c>
    </row>
    <row r="45" spans="1:10" s="583" customFormat="1" ht="15.95" customHeight="1" x14ac:dyDescent="0.25">
      <c r="A45" s="526"/>
      <c r="B45" s="526"/>
      <c r="C45" s="527" t="s">
        <v>469</v>
      </c>
      <c r="D45" s="545" t="s">
        <v>1021</v>
      </c>
      <c r="E45" s="546">
        <v>3000000</v>
      </c>
      <c r="F45" s="546"/>
      <c r="G45" s="544">
        <v>0</v>
      </c>
      <c r="H45" s="544">
        <v>0</v>
      </c>
      <c r="I45" s="544">
        <f t="shared" si="2"/>
        <v>3000000</v>
      </c>
      <c r="J45" s="584">
        <f>+MATCH(D45,'inv rubricas'!D:D,0)</f>
        <v>12</v>
      </c>
    </row>
    <row r="46" spans="1:10" s="583" customFormat="1" ht="15.95" customHeight="1" x14ac:dyDescent="0.25">
      <c r="A46" s="519">
        <v>3</v>
      </c>
      <c r="B46" s="525" t="s">
        <v>863</v>
      </c>
      <c r="C46" s="531"/>
      <c r="D46" s="555" t="s">
        <v>864</v>
      </c>
      <c r="E46" s="554">
        <f>E47</f>
        <v>1100000</v>
      </c>
      <c r="F46" s="554">
        <f>F47</f>
        <v>500000</v>
      </c>
      <c r="G46" s="554">
        <f>G47</f>
        <v>700000</v>
      </c>
      <c r="H46" s="554">
        <f>H47</f>
        <v>0</v>
      </c>
      <c r="I46" s="554">
        <f t="shared" si="2"/>
        <v>2300000</v>
      </c>
    </row>
    <row r="47" spans="1:10" s="583" customFormat="1" ht="15.95" customHeight="1" x14ac:dyDescent="0.25">
      <c r="A47" s="519"/>
      <c r="B47" s="519">
        <v>3</v>
      </c>
      <c r="C47" s="529"/>
      <c r="D47" s="555" t="s">
        <v>865</v>
      </c>
      <c r="E47" s="554">
        <f>E48+E49</f>
        <v>1100000</v>
      </c>
      <c r="F47" s="554">
        <f>F48+F49</f>
        <v>500000</v>
      </c>
      <c r="G47" s="554">
        <f>G48+G49</f>
        <v>700000</v>
      </c>
      <c r="H47" s="554">
        <f>H48+H49</f>
        <v>0</v>
      </c>
      <c r="I47" s="542">
        <f t="shared" si="2"/>
        <v>2300000</v>
      </c>
    </row>
    <row r="48" spans="1:10" s="583" customFormat="1" ht="15.95" customHeight="1" x14ac:dyDescent="0.25">
      <c r="A48" s="526"/>
      <c r="B48" s="526"/>
      <c r="C48" s="527" t="s">
        <v>449</v>
      </c>
      <c r="D48" s="545" t="s">
        <v>866</v>
      </c>
      <c r="E48" s="546">
        <v>800000</v>
      </c>
      <c r="F48" s="546">
        <v>500000</v>
      </c>
      <c r="G48" s="544">
        <v>500000</v>
      </c>
      <c r="H48" s="544">
        <v>0</v>
      </c>
      <c r="I48" s="544">
        <f t="shared" si="2"/>
        <v>1800000</v>
      </c>
      <c r="J48" s="584">
        <f>+MATCH(D48,'inv rubricas'!D:D,0)</f>
        <v>13</v>
      </c>
    </row>
    <row r="49" spans="1:14" s="583" customFormat="1" ht="15.95" customHeight="1" x14ac:dyDescent="0.25">
      <c r="A49" s="526"/>
      <c r="B49" s="526"/>
      <c r="C49" s="527" t="s">
        <v>449</v>
      </c>
      <c r="D49" s="545" t="s">
        <v>867</v>
      </c>
      <c r="E49" s="546">
        <v>300000</v>
      </c>
      <c r="F49" s="546"/>
      <c r="G49" s="544">
        <v>200000</v>
      </c>
      <c r="H49" s="544">
        <v>0</v>
      </c>
      <c r="I49" s="544">
        <f t="shared" si="2"/>
        <v>500000</v>
      </c>
      <c r="J49" s="584">
        <f>+MATCH(D49,'inv rubricas'!D:D,0)</f>
        <v>14</v>
      </c>
    </row>
    <row r="50" spans="1:14" s="583" customFormat="1" ht="15.95" customHeight="1" x14ac:dyDescent="0.25">
      <c r="A50" s="519">
        <v>3</v>
      </c>
      <c r="B50" s="525" t="s">
        <v>839</v>
      </c>
      <c r="C50" s="531"/>
      <c r="D50" s="555" t="s">
        <v>868</v>
      </c>
      <c r="E50" s="554">
        <f>E51</f>
        <v>2000000</v>
      </c>
      <c r="F50" s="554">
        <f>F51</f>
        <v>500000</v>
      </c>
      <c r="G50" s="554">
        <f>G51</f>
        <v>3000000</v>
      </c>
      <c r="H50" s="554">
        <f>H51</f>
        <v>0</v>
      </c>
      <c r="I50" s="554">
        <f t="shared" si="2"/>
        <v>5500000</v>
      </c>
    </row>
    <row r="51" spans="1:14" s="583" customFormat="1" ht="15.95" customHeight="1" x14ac:dyDescent="0.25">
      <c r="A51" s="519"/>
      <c r="B51" s="519">
        <v>1</v>
      </c>
      <c r="C51" s="529"/>
      <c r="D51" s="555" t="s">
        <v>869</v>
      </c>
      <c r="E51" s="554">
        <f>E52+E53</f>
        <v>2000000</v>
      </c>
      <c r="F51" s="554">
        <f>F52+F53</f>
        <v>500000</v>
      </c>
      <c r="G51" s="554">
        <f>G52+G53</f>
        <v>3000000</v>
      </c>
      <c r="H51" s="554">
        <f>H52+H53</f>
        <v>0</v>
      </c>
      <c r="I51" s="554">
        <f t="shared" si="2"/>
        <v>5500000</v>
      </c>
      <c r="N51" s="583">
        <f>476416540-414451284</f>
        <v>61965256</v>
      </c>
    </row>
    <row r="52" spans="1:14" s="583" customFormat="1" ht="15.95" customHeight="1" x14ac:dyDescent="0.25">
      <c r="A52" s="526"/>
      <c r="B52" s="526"/>
      <c r="C52" s="527" t="s">
        <v>449</v>
      </c>
      <c r="D52" s="545" t="s">
        <v>770</v>
      </c>
      <c r="E52" s="546">
        <v>2000000</v>
      </c>
      <c r="F52" s="546">
        <v>500000</v>
      </c>
      <c r="G52" s="544">
        <v>3000000</v>
      </c>
      <c r="H52" s="544">
        <v>0</v>
      </c>
      <c r="I52" s="544">
        <f t="shared" si="2"/>
        <v>5500000</v>
      </c>
      <c r="J52" s="584">
        <f>+MATCH(D52,'inv rubricas'!D:D,0)</f>
        <v>15</v>
      </c>
    </row>
    <row r="53" spans="1:14" s="583" customFormat="1" ht="15.95" hidden="1" customHeight="1" x14ac:dyDescent="0.25">
      <c r="A53" s="526"/>
      <c r="B53" s="526"/>
      <c r="C53" s="527" t="s">
        <v>449</v>
      </c>
      <c r="D53" s="545"/>
      <c r="E53" s="546"/>
      <c r="F53" s="546"/>
      <c r="G53" s="544"/>
      <c r="H53" s="544"/>
      <c r="I53" s="544">
        <f t="shared" si="2"/>
        <v>0</v>
      </c>
      <c r="J53" s="584"/>
    </row>
    <row r="54" spans="1:14" s="583" customFormat="1" ht="15.95" customHeight="1" x14ac:dyDescent="0.25">
      <c r="A54" s="519">
        <v>3</v>
      </c>
      <c r="B54" s="525" t="s">
        <v>870</v>
      </c>
      <c r="C54" s="529"/>
      <c r="D54" s="555" t="s">
        <v>765</v>
      </c>
      <c r="E54" s="554">
        <f>E55</f>
        <v>700000</v>
      </c>
      <c r="F54" s="554">
        <f>F55</f>
        <v>2000000</v>
      </c>
      <c r="G54" s="554">
        <f>G55</f>
        <v>0</v>
      </c>
      <c r="H54" s="554">
        <v>0</v>
      </c>
      <c r="I54" s="554">
        <f t="shared" si="2"/>
        <v>2700000</v>
      </c>
    </row>
    <row r="55" spans="1:14" s="583" customFormat="1" ht="15.95" customHeight="1" x14ac:dyDescent="0.25">
      <c r="A55" s="519"/>
      <c r="B55" s="519">
        <v>1</v>
      </c>
      <c r="C55" s="529"/>
      <c r="D55" s="555" t="s">
        <v>871</v>
      </c>
      <c r="E55" s="554">
        <f>E56+E57</f>
        <v>700000</v>
      </c>
      <c r="F55" s="554">
        <f>F56+F57</f>
        <v>2000000</v>
      </c>
      <c r="G55" s="554">
        <f>G56</f>
        <v>0</v>
      </c>
      <c r="H55" s="554">
        <f>H56</f>
        <v>0</v>
      </c>
      <c r="I55" s="542">
        <f t="shared" si="2"/>
        <v>2700000</v>
      </c>
    </row>
    <row r="56" spans="1:14" s="583" customFormat="1" ht="15.95" customHeight="1" x14ac:dyDescent="0.25">
      <c r="A56" s="526"/>
      <c r="B56" s="526"/>
      <c r="C56" s="527" t="s">
        <v>445</v>
      </c>
      <c r="D56" s="545" t="s">
        <v>872</v>
      </c>
      <c r="E56" s="546">
        <v>200000</v>
      </c>
      <c r="F56" s="546"/>
      <c r="G56" s="546">
        <v>0</v>
      </c>
      <c r="H56" s="546">
        <v>0</v>
      </c>
      <c r="I56" s="544">
        <f t="shared" si="2"/>
        <v>200000</v>
      </c>
      <c r="J56" s="584">
        <f>+MATCH(D56,'inv rubricas'!D:D,0)</f>
        <v>16</v>
      </c>
    </row>
    <row r="57" spans="1:14" s="583" customFormat="1" ht="15.95" customHeight="1" x14ac:dyDescent="0.25">
      <c r="A57" s="526"/>
      <c r="B57" s="526"/>
      <c r="C57" s="527" t="s">
        <v>445</v>
      </c>
      <c r="D57" s="545" t="s">
        <v>1137</v>
      </c>
      <c r="E57" s="546">
        <v>500000</v>
      </c>
      <c r="F57" s="546">
        <v>2000000</v>
      </c>
      <c r="G57" s="546">
        <v>0</v>
      </c>
      <c r="H57" s="546">
        <v>0</v>
      </c>
      <c r="I57" s="544">
        <f t="shared" si="2"/>
        <v>2500000</v>
      </c>
      <c r="J57" s="584">
        <f>+MATCH(D57,'inv rubricas'!D:D,0)</f>
        <v>17</v>
      </c>
    </row>
    <row r="58" spans="1:14" s="583" customFormat="1" ht="15.95" customHeight="1" x14ac:dyDescent="0.25">
      <c r="A58" s="519">
        <v>4</v>
      </c>
      <c r="B58" s="519"/>
      <c r="C58" s="532"/>
      <c r="D58" s="559" t="s">
        <v>808</v>
      </c>
      <c r="E58" s="560">
        <f>E59+E61+E65+E68</f>
        <v>5900000</v>
      </c>
      <c r="F58" s="560">
        <f>F59+F61+F65+F68</f>
        <v>4100000</v>
      </c>
      <c r="G58" s="560">
        <f>G59+G61+G65+G68</f>
        <v>700000</v>
      </c>
      <c r="H58" s="560">
        <f>H59+H61+H65+H68</f>
        <v>0</v>
      </c>
      <c r="I58" s="560">
        <f t="shared" si="2"/>
        <v>10700000</v>
      </c>
    </row>
    <row r="59" spans="1:14" s="583" customFormat="1" ht="15.95" customHeight="1" x14ac:dyDescent="0.25">
      <c r="A59" s="519">
        <v>4</v>
      </c>
      <c r="B59" s="525" t="s">
        <v>850</v>
      </c>
      <c r="C59" s="532"/>
      <c r="D59" s="555" t="s">
        <v>874</v>
      </c>
      <c r="E59" s="554">
        <f>E60</f>
        <v>500000</v>
      </c>
      <c r="F59" s="554">
        <f>F60</f>
        <v>3000000</v>
      </c>
      <c r="G59" s="554">
        <f>G60</f>
        <v>0</v>
      </c>
      <c r="H59" s="554">
        <f>H60</f>
        <v>0</v>
      </c>
      <c r="I59" s="554">
        <f t="shared" si="2"/>
        <v>3500000</v>
      </c>
    </row>
    <row r="60" spans="1:14" s="583" customFormat="1" ht="15.95" customHeight="1" x14ac:dyDescent="0.25">
      <c r="A60" s="526"/>
      <c r="B60" s="526"/>
      <c r="C60" s="524" t="s">
        <v>485</v>
      </c>
      <c r="D60" s="561" t="s">
        <v>875</v>
      </c>
      <c r="E60" s="546">
        <v>500000</v>
      </c>
      <c r="F60" s="562">
        <v>3000000</v>
      </c>
      <c r="G60" s="563"/>
      <c r="H60" s="563">
        <v>0</v>
      </c>
      <c r="I60" s="563">
        <f t="shared" si="2"/>
        <v>3500000</v>
      </c>
      <c r="J60" s="584">
        <f>+MATCH(D60,'inv rubricas'!D:D,0)</f>
        <v>18</v>
      </c>
    </row>
    <row r="61" spans="1:14" s="583" customFormat="1" ht="15.95" customHeight="1" x14ac:dyDescent="0.25">
      <c r="A61" s="519">
        <v>4</v>
      </c>
      <c r="B61" s="525" t="s">
        <v>863</v>
      </c>
      <c r="C61" s="532"/>
      <c r="D61" s="555" t="s">
        <v>876</v>
      </c>
      <c r="E61" s="554">
        <f>+E62</f>
        <v>1400000</v>
      </c>
      <c r="F61" s="554">
        <f>+F62</f>
        <v>1100000</v>
      </c>
      <c r="G61" s="554">
        <f>+G62</f>
        <v>700000</v>
      </c>
      <c r="H61" s="554">
        <f>+H62</f>
        <v>0</v>
      </c>
      <c r="I61" s="554">
        <f t="shared" ref="I61:I88" si="3">+SUM(E61:H61)</f>
        <v>3200000</v>
      </c>
    </row>
    <row r="62" spans="1:14" s="583" customFormat="1" ht="15.95" customHeight="1" x14ac:dyDescent="0.25">
      <c r="A62" s="519"/>
      <c r="B62" s="533" t="s">
        <v>843</v>
      </c>
      <c r="C62" s="533"/>
      <c r="D62" s="555" t="s">
        <v>1132</v>
      </c>
      <c r="E62" s="554">
        <f>+SUM(E63:E64)</f>
        <v>1400000</v>
      </c>
      <c r="F62" s="554">
        <f>+SUM(F63:F64)</f>
        <v>1100000</v>
      </c>
      <c r="G62" s="554">
        <f>+SUM(G63:G64)</f>
        <v>700000</v>
      </c>
      <c r="H62" s="554">
        <f>+SUM(H63:H64)</f>
        <v>0</v>
      </c>
      <c r="I62" s="554">
        <f t="shared" si="3"/>
        <v>3200000</v>
      </c>
    </row>
    <row r="63" spans="1:14" s="583" customFormat="1" ht="15.95" customHeight="1" x14ac:dyDescent="0.25">
      <c r="A63" s="526"/>
      <c r="B63" s="526"/>
      <c r="C63" s="527" t="s">
        <v>469</v>
      </c>
      <c r="D63" s="545" t="s">
        <v>877</v>
      </c>
      <c r="E63" s="546">
        <v>400000</v>
      </c>
      <c r="F63" s="562">
        <v>600000</v>
      </c>
      <c r="G63" s="563">
        <v>200000</v>
      </c>
      <c r="H63" s="563">
        <v>0</v>
      </c>
      <c r="I63" s="546">
        <f t="shared" si="3"/>
        <v>1200000</v>
      </c>
      <c r="J63" s="584">
        <f>+MATCH(D63,'inv rubricas'!D:D,0)</f>
        <v>19</v>
      </c>
    </row>
    <row r="64" spans="1:14" s="583" customFormat="1" ht="15.95" customHeight="1" x14ac:dyDescent="0.25">
      <c r="A64" s="526"/>
      <c r="B64" s="526"/>
      <c r="C64" s="527" t="s">
        <v>438</v>
      </c>
      <c r="D64" s="545" t="s">
        <v>1138</v>
      </c>
      <c r="E64" s="546">
        <v>1000000</v>
      </c>
      <c r="F64" s="562">
        <v>500000</v>
      </c>
      <c r="G64" s="563">
        <v>500000</v>
      </c>
      <c r="H64" s="563"/>
      <c r="I64" s="546">
        <f t="shared" si="3"/>
        <v>2000000</v>
      </c>
      <c r="J64" s="584">
        <f>+MATCH(D64,'inv rubricas'!D:D,0)</f>
        <v>20</v>
      </c>
    </row>
    <row r="65" spans="1:10" s="583" customFormat="1" ht="15.95" hidden="1" customHeight="1" x14ac:dyDescent="0.25">
      <c r="A65" s="519" t="s">
        <v>878</v>
      </c>
      <c r="B65" s="525" t="s">
        <v>839</v>
      </c>
      <c r="C65" s="533"/>
      <c r="D65" s="555" t="s">
        <v>879</v>
      </c>
      <c r="E65" s="554">
        <f t="shared" ref="E65:H66" si="4">E66</f>
        <v>0</v>
      </c>
      <c r="F65" s="554">
        <f t="shared" si="4"/>
        <v>0</v>
      </c>
      <c r="G65" s="554">
        <f t="shared" si="4"/>
        <v>0</v>
      </c>
      <c r="H65" s="554">
        <f t="shared" si="4"/>
        <v>0</v>
      </c>
      <c r="I65" s="554">
        <f t="shared" si="3"/>
        <v>0</v>
      </c>
    </row>
    <row r="66" spans="1:10" s="583" customFormat="1" ht="15.95" hidden="1" customHeight="1" x14ac:dyDescent="0.25">
      <c r="A66" s="519"/>
      <c r="B66" s="519">
        <v>1</v>
      </c>
      <c r="C66" s="529"/>
      <c r="D66" s="555" t="s">
        <v>880</v>
      </c>
      <c r="E66" s="554">
        <f t="shared" si="4"/>
        <v>0</v>
      </c>
      <c r="F66" s="560">
        <f t="shared" si="4"/>
        <v>0</v>
      </c>
      <c r="G66" s="564">
        <f t="shared" si="4"/>
        <v>0</v>
      </c>
      <c r="H66" s="564">
        <f t="shared" si="4"/>
        <v>0</v>
      </c>
      <c r="I66" s="554">
        <f t="shared" si="3"/>
        <v>0</v>
      </c>
    </row>
    <row r="67" spans="1:10" s="583" customFormat="1" ht="15.95" hidden="1" customHeight="1" x14ac:dyDescent="0.25">
      <c r="A67" s="526"/>
      <c r="B67" s="526"/>
      <c r="C67" s="527" t="s">
        <v>469</v>
      </c>
      <c r="D67" s="545"/>
      <c r="E67" s="546"/>
      <c r="F67" s="562"/>
      <c r="G67" s="563"/>
      <c r="H67" s="563">
        <v>0</v>
      </c>
      <c r="I67" s="546">
        <f t="shared" si="3"/>
        <v>0</v>
      </c>
      <c r="J67" s="584"/>
    </row>
    <row r="68" spans="1:10" s="583" customFormat="1" ht="15.95" customHeight="1" x14ac:dyDescent="0.25">
      <c r="A68" s="530"/>
      <c r="B68" s="530">
        <v>5</v>
      </c>
      <c r="C68" s="529"/>
      <c r="D68" s="555" t="s">
        <v>881</v>
      </c>
      <c r="E68" s="554">
        <f t="shared" ref="E68:H69" si="5">+E69</f>
        <v>4000000</v>
      </c>
      <c r="F68" s="560">
        <f t="shared" si="5"/>
        <v>0</v>
      </c>
      <c r="G68" s="564">
        <f t="shared" si="5"/>
        <v>0</v>
      </c>
      <c r="H68" s="564">
        <f t="shared" si="5"/>
        <v>0</v>
      </c>
      <c r="I68" s="554">
        <f t="shared" si="3"/>
        <v>4000000</v>
      </c>
    </row>
    <row r="69" spans="1:10" s="583" customFormat="1" ht="15.95" customHeight="1" x14ac:dyDescent="0.25">
      <c r="A69" s="530"/>
      <c r="B69" s="530">
        <v>1</v>
      </c>
      <c r="C69" s="529"/>
      <c r="D69" s="555" t="s">
        <v>882</v>
      </c>
      <c r="E69" s="554">
        <f t="shared" si="5"/>
        <v>4000000</v>
      </c>
      <c r="F69" s="560">
        <f t="shared" si="5"/>
        <v>0</v>
      </c>
      <c r="G69" s="564">
        <f t="shared" si="5"/>
        <v>0</v>
      </c>
      <c r="H69" s="564">
        <f t="shared" si="5"/>
        <v>0</v>
      </c>
      <c r="I69" s="554">
        <f t="shared" si="3"/>
        <v>4000000</v>
      </c>
    </row>
    <row r="70" spans="1:10" s="583" customFormat="1" ht="15.95" customHeight="1" x14ac:dyDescent="0.25">
      <c r="A70" s="526"/>
      <c r="B70" s="526"/>
      <c r="C70" s="527" t="s">
        <v>469</v>
      </c>
      <c r="D70" s="545" t="s">
        <v>883</v>
      </c>
      <c r="E70" s="546">
        <v>4000000</v>
      </c>
      <c r="F70" s="562"/>
      <c r="G70" s="563"/>
      <c r="H70" s="563"/>
      <c r="I70" s="546">
        <f t="shared" si="3"/>
        <v>4000000</v>
      </c>
      <c r="J70" s="584">
        <f>+MATCH(D70,'inv rubricas'!D:D,0)</f>
        <v>21</v>
      </c>
    </row>
    <row r="71" spans="1:10" s="583" customFormat="1" ht="15.95" customHeight="1" x14ac:dyDescent="0.25">
      <c r="A71" s="519">
        <v>5</v>
      </c>
      <c r="B71" s="525" t="s">
        <v>863</v>
      </c>
      <c r="C71" s="532"/>
      <c r="D71" s="555" t="s">
        <v>809</v>
      </c>
      <c r="E71" s="554">
        <f>E72+E78+E90+E98+E86+E95</f>
        <v>69500000</v>
      </c>
      <c r="F71" s="554">
        <f>F72+F78+F90+F98+F86+F95</f>
        <v>87400000</v>
      </c>
      <c r="G71" s="554">
        <f>G72+G78+G90+G98+G86+G95</f>
        <v>61950000</v>
      </c>
      <c r="H71" s="554">
        <f>H72+H78+H98+H86+H90</f>
        <v>0</v>
      </c>
      <c r="I71" s="554">
        <f t="shared" si="3"/>
        <v>218850000</v>
      </c>
    </row>
    <row r="72" spans="1:10" s="583" customFormat="1" ht="15.95" customHeight="1" x14ac:dyDescent="0.25">
      <c r="A72" s="519"/>
      <c r="B72" s="525" t="s">
        <v>843</v>
      </c>
      <c r="C72" s="532"/>
      <c r="D72" s="555" t="s">
        <v>884</v>
      </c>
      <c r="E72" s="554">
        <f>+E73</f>
        <v>7700000</v>
      </c>
      <c r="F72" s="554">
        <f>+F73</f>
        <v>5400000</v>
      </c>
      <c r="G72" s="554">
        <f>+G73</f>
        <v>300000</v>
      </c>
      <c r="H72" s="554">
        <f>+H73</f>
        <v>0</v>
      </c>
      <c r="I72" s="554">
        <f t="shared" si="3"/>
        <v>13400000</v>
      </c>
    </row>
    <row r="73" spans="1:10" s="583" customFormat="1" ht="15.95" customHeight="1" x14ac:dyDescent="0.25">
      <c r="A73" s="519"/>
      <c r="B73" s="525"/>
      <c r="C73" s="532"/>
      <c r="D73" s="555" t="s">
        <v>885</v>
      </c>
      <c r="E73" s="554">
        <f>+E74+E75+E76+E77</f>
        <v>7700000</v>
      </c>
      <c r="F73" s="554">
        <f>+F74+F75+F76+F77</f>
        <v>5400000</v>
      </c>
      <c r="G73" s="554">
        <f>+G74+G75+G76+G77</f>
        <v>300000</v>
      </c>
      <c r="H73" s="554">
        <f>+H74+H75+H76+H77</f>
        <v>0</v>
      </c>
      <c r="I73" s="554">
        <f t="shared" si="3"/>
        <v>13400000</v>
      </c>
    </row>
    <row r="74" spans="1:10" s="583" customFormat="1" ht="15.95" customHeight="1" x14ac:dyDescent="0.25">
      <c r="A74" s="519"/>
      <c r="B74" s="525"/>
      <c r="C74" s="524" t="s">
        <v>485</v>
      </c>
      <c r="D74" s="545" t="s">
        <v>758</v>
      </c>
      <c r="E74" s="546">
        <v>500000</v>
      </c>
      <c r="F74" s="546">
        <v>1500000</v>
      </c>
      <c r="G74" s="546">
        <v>300000</v>
      </c>
      <c r="H74" s="546">
        <v>0</v>
      </c>
      <c r="I74" s="546">
        <f t="shared" si="3"/>
        <v>2300000</v>
      </c>
      <c r="J74" s="584">
        <f>+MATCH(D74,'inv rubricas'!D:D,0)</f>
        <v>22</v>
      </c>
    </row>
    <row r="75" spans="1:10" s="583" customFormat="1" ht="15.95" customHeight="1" x14ac:dyDescent="0.25">
      <c r="A75" s="519"/>
      <c r="B75" s="525"/>
      <c r="C75" s="527" t="s">
        <v>469</v>
      </c>
      <c r="D75" s="545" t="s">
        <v>760</v>
      </c>
      <c r="E75" s="546">
        <v>7000000</v>
      </c>
      <c r="F75" s="546">
        <v>0</v>
      </c>
      <c r="G75" s="546">
        <v>0</v>
      </c>
      <c r="H75" s="546">
        <v>0</v>
      </c>
      <c r="I75" s="546">
        <f t="shared" si="3"/>
        <v>7000000</v>
      </c>
      <c r="J75" s="584">
        <f>+MATCH(D75,'inv rubricas'!D:D,0)</f>
        <v>23</v>
      </c>
    </row>
    <row r="76" spans="1:10" s="583" customFormat="1" ht="15.95" hidden="1" customHeight="1" x14ac:dyDescent="0.25">
      <c r="A76" s="519"/>
      <c r="B76" s="525"/>
      <c r="C76" s="527" t="s">
        <v>438</v>
      </c>
      <c r="D76" s="545" t="s">
        <v>886</v>
      </c>
      <c r="E76" s="546"/>
      <c r="F76" s="546">
        <v>2400000</v>
      </c>
      <c r="G76" s="546">
        <v>0</v>
      </c>
      <c r="H76" s="546">
        <v>0</v>
      </c>
      <c r="I76" s="546">
        <f t="shared" si="3"/>
        <v>2400000</v>
      </c>
      <c r="J76" s="584">
        <f>+MATCH(D76,'inv rubricas'!D:D,0)</f>
        <v>24</v>
      </c>
    </row>
    <row r="77" spans="1:10" s="583" customFormat="1" ht="15.95" customHeight="1" x14ac:dyDescent="0.25">
      <c r="A77" s="519"/>
      <c r="B77" s="525"/>
      <c r="C77" s="527" t="s">
        <v>438</v>
      </c>
      <c r="D77" s="545" t="s">
        <v>761</v>
      </c>
      <c r="E77" s="546">
        <v>200000</v>
      </c>
      <c r="F77" s="546">
        <v>1500000</v>
      </c>
      <c r="G77" s="546">
        <v>0</v>
      </c>
      <c r="H77" s="546">
        <v>0</v>
      </c>
      <c r="I77" s="546">
        <f t="shared" si="3"/>
        <v>1700000</v>
      </c>
      <c r="J77" s="584">
        <f>+MATCH(D77,'inv rubricas'!D:D,0)</f>
        <v>25</v>
      </c>
    </row>
    <row r="78" spans="1:10" s="583" customFormat="1" ht="15.95" customHeight="1" x14ac:dyDescent="0.25">
      <c r="A78" s="519">
        <v>5</v>
      </c>
      <c r="B78" s="525" t="s">
        <v>850</v>
      </c>
      <c r="C78" s="532"/>
      <c r="D78" s="555" t="s">
        <v>887</v>
      </c>
      <c r="E78" s="554">
        <f>+E79</f>
        <v>10700000</v>
      </c>
      <c r="F78" s="554">
        <f>SUM(F79:F79)</f>
        <v>0</v>
      </c>
      <c r="G78" s="554">
        <f>SUM(G79:G79)</f>
        <v>4400000</v>
      </c>
      <c r="H78" s="554">
        <f>SUM(H79:H79)</f>
        <v>0</v>
      </c>
      <c r="I78" s="554">
        <f t="shared" si="3"/>
        <v>15100000</v>
      </c>
    </row>
    <row r="79" spans="1:10" s="583" customFormat="1" ht="15.95" customHeight="1" x14ac:dyDescent="0.25">
      <c r="A79" s="519"/>
      <c r="B79" s="519">
        <v>1</v>
      </c>
      <c r="C79" s="529"/>
      <c r="D79" s="555" t="s">
        <v>888</v>
      </c>
      <c r="E79" s="554">
        <f>SUM(E80:E85)</f>
        <v>10700000</v>
      </c>
      <c r="F79" s="554">
        <f>SUM(F80:F85)</f>
        <v>0</v>
      </c>
      <c r="G79" s="560">
        <f>G80+G81+G82+G84+G85</f>
        <v>4400000</v>
      </c>
      <c r="H79" s="560">
        <f>H80+H81+H84+H85+H82+H83</f>
        <v>0</v>
      </c>
      <c r="I79" s="564">
        <f t="shared" si="3"/>
        <v>15100000</v>
      </c>
    </row>
    <row r="80" spans="1:10" s="583" customFormat="1" ht="15.95" customHeight="1" x14ac:dyDescent="0.25">
      <c r="A80" s="526"/>
      <c r="B80" s="526"/>
      <c r="C80" s="527" t="s">
        <v>449</v>
      </c>
      <c r="D80" s="545" t="s">
        <v>1139</v>
      </c>
      <c r="E80" s="546">
        <f>5000000+1500000</f>
        <v>6500000</v>
      </c>
      <c r="F80" s="562"/>
      <c r="G80" s="562"/>
      <c r="H80" s="562">
        <v>0</v>
      </c>
      <c r="I80" s="562">
        <f t="shared" si="3"/>
        <v>6500000</v>
      </c>
      <c r="J80" s="584">
        <f>+MATCH(D80,'inv rubricas'!D:D,0)</f>
        <v>26</v>
      </c>
    </row>
    <row r="81" spans="1:10" s="583" customFormat="1" ht="15.95" customHeight="1" x14ac:dyDescent="0.25">
      <c r="A81" s="526"/>
      <c r="B81" s="526"/>
      <c r="C81" s="596" t="s">
        <v>469</v>
      </c>
      <c r="D81" s="597" t="s">
        <v>890</v>
      </c>
      <c r="E81" s="593">
        <v>200000</v>
      </c>
      <c r="F81" s="565"/>
      <c r="G81" s="565"/>
      <c r="H81" s="594">
        <v>0</v>
      </c>
      <c r="I81" s="594">
        <f t="shared" si="3"/>
        <v>200000</v>
      </c>
      <c r="J81" s="584">
        <f>+MATCH(D81,'inv rubricas'!D:D,0)</f>
        <v>27</v>
      </c>
    </row>
    <row r="82" spans="1:10" s="583" customFormat="1" ht="15.95" customHeight="1" x14ac:dyDescent="0.25">
      <c r="A82" s="526"/>
      <c r="B82" s="526"/>
      <c r="C82" s="598" t="s">
        <v>485</v>
      </c>
      <c r="D82" s="597" t="s">
        <v>741</v>
      </c>
      <c r="E82" s="593">
        <v>4000000</v>
      </c>
      <c r="F82" s="562">
        <v>0</v>
      </c>
      <c r="G82" s="562">
        <v>0</v>
      </c>
      <c r="H82" s="562">
        <v>0</v>
      </c>
      <c r="I82" s="562">
        <f t="shared" si="3"/>
        <v>4000000</v>
      </c>
      <c r="J82" s="584">
        <f>+MATCH(D82,'inv rubricas'!D:D,0)</f>
        <v>28</v>
      </c>
    </row>
    <row r="83" spans="1:10" s="583" customFormat="1" ht="15.95" hidden="1" customHeight="1" x14ac:dyDescent="0.25">
      <c r="A83" s="526"/>
      <c r="B83" s="526"/>
      <c r="C83" s="598" t="s">
        <v>891</v>
      </c>
      <c r="D83" s="597"/>
      <c r="E83" s="593"/>
      <c r="F83" s="562"/>
      <c r="G83" s="562"/>
      <c r="H83" s="562"/>
      <c r="I83" s="562">
        <f t="shared" si="3"/>
        <v>0</v>
      </c>
      <c r="J83" s="584"/>
    </row>
    <row r="84" spans="1:10" s="583" customFormat="1" ht="15.95" hidden="1" customHeight="1" x14ac:dyDescent="0.25">
      <c r="A84" s="526"/>
      <c r="B84" s="526"/>
      <c r="C84" s="527" t="s">
        <v>469</v>
      </c>
      <c r="D84" s="545"/>
      <c r="E84" s="546"/>
      <c r="F84" s="562"/>
      <c r="G84" s="562"/>
      <c r="H84" s="562">
        <v>0</v>
      </c>
      <c r="I84" s="562">
        <f t="shared" si="3"/>
        <v>0</v>
      </c>
      <c r="J84" s="584"/>
    </row>
    <row r="85" spans="1:10" s="583" customFormat="1" ht="15.95" customHeight="1" x14ac:dyDescent="0.25">
      <c r="A85" s="526"/>
      <c r="B85" s="526"/>
      <c r="C85" s="527" t="s">
        <v>469</v>
      </c>
      <c r="D85" s="545" t="s">
        <v>893</v>
      </c>
      <c r="E85" s="546"/>
      <c r="F85" s="562"/>
      <c r="G85" s="562">
        <v>4400000</v>
      </c>
      <c r="H85" s="562">
        <v>0</v>
      </c>
      <c r="I85" s="563">
        <f t="shared" si="3"/>
        <v>4400000</v>
      </c>
      <c r="J85" s="584">
        <f>+MATCH(D85,'inv rubricas'!D:D,0)</f>
        <v>29</v>
      </c>
    </row>
    <row r="86" spans="1:10" s="583" customFormat="1" ht="15" customHeight="1" x14ac:dyDescent="0.25">
      <c r="A86" s="530"/>
      <c r="B86" s="525" t="s">
        <v>863</v>
      </c>
      <c r="C86" s="529"/>
      <c r="D86" s="555" t="s">
        <v>894</v>
      </c>
      <c r="E86" s="554">
        <f>+E87</f>
        <v>700000</v>
      </c>
      <c r="F86" s="560">
        <f>+F87</f>
        <v>0</v>
      </c>
      <c r="G86" s="560">
        <f>+G87</f>
        <v>37000000</v>
      </c>
      <c r="H86" s="560">
        <f>+H87</f>
        <v>0</v>
      </c>
      <c r="I86" s="564">
        <f t="shared" si="3"/>
        <v>37700000</v>
      </c>
    </row>
    <row r="87" spans="1:10" s="587" customFormat="1" ht="15" customHeight="1" x14ac:dyDescent="0.25">
      <c r="A87" s="530"/>
      <c r="B87" s="530">
        <v>1</v>
      </c>
      <c r="C87" s="529"/>
      <c r="D87" s="555" t="s">
        <v>895</v>
      </c>
      <c r="E87" s="554">
        <f>+E88+E89</f>
        <v>700000</v>
      </c>
      <c r="F87" s="554">
        <f>+F88+F89</f>
        <v>0</v>
      </c>
      <c r="G87" s="554">
        <f>+G88+G89</f>
        <v>37000000</v>
      </c>
      <c r="H87" s="554">
        <f>+H88+H89</f>
        <v>0</v>
      </c>
      <c r="I87" s="564">
        <f t="shared" si="3"/>
        <v>37700000</v>
      </c>
      <c r="J87" s="587">
        <f>47000000*0.25</f>
        <v>11750000</v>
      </c>
    </row>
    <row r="88" spans="1:10" s="588" customFormat="1" ht="33" customHeight="1" x14ac:dyDescent="0.25">
      <c r="A88" s="534"/>
      <c r="B88" s="534">
        <v>1</v>
      </c>
      <c r="C88" s="535" t="s">
        <v>485</v>
      </c>
      <c r="D88" s="566" t="s">
        <v>1135</v>
      </c>
      <c r="E88" s="567"/>
      <c r="F88" s="568"/>
      <c r="G88" s="568">
        <v>33000000</v>
      </c>
      <c r="H88" s="568">
        <v>0</v>
      </c>
      <c r="I88" s="569">
        <f t="shared" si="3"/>
        <v>33000000</v>
      </c>
      <c r="J88" s="584">
        <f>+MATCH(D88,'inv rubricas'!D:D,0)</f>
        <v>30</v>
      </c>
    </row>
    <row r="89" spans="1:10" s="588" customFormat="1" ht="30.75" customHeight="1" x14ac:dyDescent="0.25">
      <c r="A89" s="534"/>
      <c r="B89" s="534"/>
      <c r="C89" s="535" t="s">
        <v>485</v>
      </c>
      <c r="D89" s="566" t="s">
        <v>1140</v>
      </c>
      <c r="E89" s="567">
        <v>700000</v>
      </c>
      <c r="F89" s="568"/>
      <c r="G89" s="568">
        <v>4000000</v>
      </c>
      <c r="H89" s="568">
        <v>0</v>
      </c>
      <c r="I89" s="569">
        <f t="shared" ref="I89:I112" si="6">+SUM(E89:H89)</f>
        <v>4700000</v>
      </c>
      <c r="J89" s="584">
        <f>+MATCH(D89,'inv rubricas'!D:D,0)</f>
        <v>31</v>
      </c>
    </row>
    <row r="90" spans="1:10" s="583" customFormat="1" ht="15.95" customHeight="1" x14ac:dyDescent="0.25">
      <c r="A90" s="519">
        <v>5</v>
      </c>
      <c r="B90" s="525" t="s">
        <v>839</v>
      </c>
      <c r="C90" s="532"/>
      <c r="D90" s="555" t="s">
        <v>897</v>
      </c>
      <c r="E90" s="554">
        <f>E91</f>
        <v>2900000</v>
      </c>
      <c r="F90" s="554">
        <f>F91</f>
        <v>0</v>
      </c>
      <c r="G90" s="554">
        <f>G91</f>
        <v>250000</v>
      </c>
      <c r="H90" s="554">
        <f>H91</f>
        <v>0</v>
      </c>
      <c r="I90" s="554">
        <f t="shared" si="6"/>
        <v>3150000</v>
      </c>
    </row>
    <row r="91" spans="1:10" s="583" customFormat="1" ht="15.95" customHeight="1" x14ac:dyDescent="0.25">
      <c r="A91" s="519"/>
      <c r="B91" s="519">
        <v>1</v>
      </c>
      <c r="C91" s="532"/>
      <c r="D91" s="555" t="s">
        <v>898</v>
      </c>
      <c r="E91" s="554">
        <f>+SUM(E92:E94)</f>
        <v>2900000</v>
      </c>
      <c r="F91" s="554">
        <f>+SUM(F92:F94)</f>
        <v>0</v>
      </c>
      <c r="G91" s="554">
        <f>+SUM(G92:G94)</f>
        <v>250000</v>
      </c>
      <c r="H91" s="554">
        <f>+SUM(H92:H94)</f>
        <v>0</v>
      </c>
      <c r="I91" s="554">
        <f t="shared" si="6"/>
        <v>3150000</v>
      </c>
    </row>
    <row r="92" spans="1:10" s="588" customFormat="1" ht="21" customHeight="1" x14ac:dyDescent="0.25">
      <c r="A92" s="534"/>
      <c r="B92" s="534"/>
      <c r="C92" s="590" t="s">
        <v>485</v>
      </c>
      <c r="D92" s="591" t="s">
        <v>901</v>
      </c>
      <c r="E92" s="592">
        <v>400000</v>
      </c>
      <c r="F92" s="567">
        <v>0</v>
      </c>
      <c r="G92" s="567">
        <v>250000</v>
      </c>
      <c r="H92" s="567">
        <v>0</v>
      </c>
      <c r="I92" s="567">
        <f t="shared" si="6"/>
        <v>650000</v>
      </c>
      <c r="J92" s="584">
        <f>+MATCH(D92,'inv rubricas'!D:D,0)</f>
        <v>32</v>
      </c>
    </row>
    <row r="93" spans="1:10" s="588" customFormat="1" ht="20.25" customHeight="1" x14ac:dyDescent="0.25">
      <c r="A93" s="534"/>
      <c r="B93" s="534"/>
      <c r="C93" s="536" t="s">
        <v>449</v>
      </c>
      <c r="D93" s="571" t="s">
        <v>1134</v>
      </c>
      <c r="E93" s="567">
        <v>2500000</v>
      </c>
      <c r="F93" s="567"/>
      <c r="G93" s="567">
        <v>0</v>
      </c>
      <c r="H93" s="567">
        <v>0</v>
      </c>
      <c r="I93" s="567">
        <f t="shared" si="6"/>
        <v>2500000</v>
      </c>
      <c r="J93" s="584">
        <f>+MATCH(D93,'inv rubricas'!D:D,0)</f>
        <v>33</v>
      </c>
    </row>
    <row r="94" spans="1:10" s="583" customFormat="1" ht="15.95" hidden="1" customHeight="1" x14ac:dyDescent="0.25">
      <c r="A94" s="526"/>
      <c r="B94" s="526"/>
      <c r="C94" s="536" t="s">
        <v>449</v>
      </c>
      <c r="D94" s="561"/>
      <c r="E94" s="546"/>
      <c r="F94" s="546"/>
      <c r="G94" s="546">
        <v>0</v>
      </c>
      <c r="H94" s="546">
        <v>0</v>
      </c>
      <c r="I94" s="546">
        <f t="shared" si="6"/>
        <v>0</v>
      </c>
      <c r="J94" s="584"/>
    </row>
    <row r="95" spans="1:10" s="583" customFormat="1" ht="15.95" hidden="1" customHeight="1" x14ac:dyDescent="0.25">
      <c r="A95" s="530"/>
      <c r="B95" s="530">
        <v>5</v>
      </c>
      <c r="C95" s="532"/>
      <c r="D95" s="555" t="s">
        <v>903</v>
      </c>
      <c r="E95" s="554">
        <f t="shared" ref="E95:H96" si="7">+E96</f>
        <v>0</v>
      </c>
      <c r="F95" s="554">
        <f t="shared" si="7"/>
        <v>0</v>
      </c>
      <c r="G95" s="554">
        <f t="shared" si="7"/>
        <v>0</v>
      </c>
      <c r="H95" s="554">
        <f t="shared" si="7"/>
        <v>0</v>
      </c>
      <c r="I95" s="554">
        <f t="shared" si="6"/>
        <v>0</v>
      </c>
    </row>
    <row r="96" spans="1:10" s="583" customFormat="1" ht="15.95" hidden="1" customHeight="1" x14ac:dyDescent="0.25">
      <c r="A96" s="530"/>
      <c r="B96" s="530">
        <v>1</v>
      </c>
      <c r="C96" s="532"/>
      <c r="D96" s="555" t="s">
        <v>904</v>
      </c>
      <c r="E96" s="554">
        <f t="shared" si="7"/>
        <v>0</v>
      </c>
      <c r="F96" s="554">
        <f t="shared" si="7"/>
        <v>0</v>
      </c>
      <c r="G96" s="554">
        <f t="shared" si="7"/>
        <v>0</v>
      </c>
      <c r="H96" s="554">
        <f t="shared" si="7"/>
        <v>0</v>
      </c>
      <c r="I96" s="554">
        <f>+I97</f>
        <v>0</v>
      </c>
    </row>
    <row r="97" spans="1:11" s="583" customFormat="1" ht="15.95" hidden="1" customHeight="1" x14ac:dyDescent="0.25">
      <c r="A97" s="526"/>
      <c r="B97" s="526"/>
      <c r="C97" s="524" t="s">
        <v>485</v>
      </c>
      <c r="D97" s="614"/>
      <c r="E97" s="546"/>
      <c r="F97" s="546">
        <v>0</v>
      </c>
      <c r="G97" s="546"/>
      <c r="H97" s="546">
        <v>0</v>
      </c>
      <c r="I97" s="546">
        <f t="shared" si="6"/>
        <v>0</v>
      </c>
      <c r="J97" s="584"/>
    </row>
    <row r="98" spans="1:11" s="583" customFormat="1" ht="15.95" customHeight="1" x14ac:dyDescent="0.25">
      <c r="A98" s="519">
        <v>5</v>
      </c>
      <c r="B98" s="525" t="s">
        <v>906</v>
      </c>
      <c r="C98" s="532"/>
      <c r="D98" s="555" t="s">
        <v>907</v>
      </c>
      <c r="E98" s="554">
        <f>E99</f>
        <v>47500000</v>
      </c>
      <c r="F98" s="554">
        <f>F99</f>
        <v>82000000</v>
      </c>
      <c r="G98" s="554">
        <f>+G99</f>
        <v>20000000</v>
      </c>
      <c r="H98" s="554">
        <f>SUM(H100:H118)</f>
        <v>0</v>
      </c>
      <c r="I98" s="554">
        <f t="shared" si="6"/>
        <v>149500000</v>
      </c>
    </row>
    <row r="99" spans="1:11" s="583" customFormat="1" ht="15.95" customHeight="1" x14ac:dyDescent="0.25">
      <c r="A99" s="519"/>
      <c r="B99" s="537" t="s">
        <v>843</v>
      </c>
      <c r="C99" s="532"/>
      <c r="D99" s="555" t="s">
        <v>908</v>
      </c>
      <c r="E99" s="554">
        <f>SUM(E100:E115)</f>
        <v>47500000</v>
      </c>
      <c r="F99" s="554">
        <f>SUM(F100:F115)</f>
        <v>82000000</v>
      </c>
      <c r="G99" s="554">
        <f>SUM(G100:G115)</f>
        <v>20000000</v>
      </c>
      <c r="H99" s="554">
        <f>SUM(H100:H115)</f>
        <v>0</v>
      </c>
      <c r="I99" s="554">
        <f t="shared" si="6"/>
        <v>149500000</v>
      </c>
    </row>
    <row r="100" spans="1:11" s="583" customFormat="1" ht="24.75" customHeight="1" x14ac:dyDescent="0.25">
      <c r="A100" s="526"/>
      <c r="B100" s="526"/>
      <c r="C100" s="536" t="s">
        <v>464</v>
      </c>
      <c r="D100" s="571" t="s">
        <v>747</v>
      </c>
      <c r="E100" s="567">
        <v>500000</v>
      </c>
      <c r="F100" s="568">
        <v>1000000</v>
      </c>
      <c r="G100" s="569">
        <v>0</v>
      </c>
      <c r="H100" s="569">
        <v>0</v>
      </c>
      <c r="I100" s="567">
        <f t="shared" si="6"/>
        <v>1500000</v>
      </c>
      <c r="J100" s="584">
        <f>+MATCH(D100,'inv rubricas'!D:D,0)</f>
        <v>34</v>
      </c>
    </row>
    <row r="101" spans="1:11" s="588" customFormat="1" ht="25.5" customHeight="1" x14ac:dyDescent="0.25">
      <c r="A101" s="534"/>
      <c r="B101" s="534"/>
      <c r="C101" s="538" t="s">
        <v>469</v>
      </c>
      <c r="D101" s="571" t="s">
        <v>754</v>
      </c>
      <c r="E101" s="567">
        <v>3000000</v>
      </c>
      <c r="F101" s="568"/>
      <c r="G101" s="569"/>
      <c r="H101" s="569">
        <v>0</v>
      </c>
      <c r="I101" s="567">
        <f t="shared" si="6"/>
        <v>3000000</v>
      </c>
      <c r="J101" s="584">
        <f>+MATCH(D101,'inv rubricas'!D:D,0)</f>
        <v>35</v>
      </c>
    </row>
    <row r="102" spans="1:11" s="583" customFormat="1" ht="24.75" customHeight="1" x14ac:dyDescent="0.25">
      <c r="A102" s="526"/>
      <c r="B102" s="526"/>
      <c r="C102" s="536" t="s">
        <v>469</v>
      </c>
      <c r="D102" s="571" t="s">
        <v>1141</v>
      </c>
      <c r="E102" s="567">
        <v>10000000</v>
      </c>
      <c r="F102" s="568"/>
      <c r="G102" s="569"/>
      <c r="H102" s="569"/>
      <c r="I102" s="567">
        <f t="shared" si="6"/>
        <v>10000000</v>
      </c>
      <c r="J102" s="584">
        <f>+MATCH(D102,'inv rubricas'!D:D,0)</f>
        <v>36</v>
      </c>
    </row>
    <row r="103" spans="1:11" s="583" customFormat="1" ht="24.75" customHeight="1" x14ac:dyDescent="0.25">
      <c r="A103" s="526"/>
      <c r="B103" s="526"/>
      <c r="C103" s="536" t="s">
        <v>469</v>
      </c>
      <c r="D103" s="571" t="s">
        <v>1142</v>
      </c>
      <c r="E103" s="567"/>
      <c r="F103" s="568">
        <v>30000000</v>
      </c>
      <c r="G103" s="569">
        <v>0</v>
      </c>
      <c r="H103" s="569">
        <v>0</v>
      </c>
      <c r="I103" s="567">
        <f t="shared" si="6"/>
        <v>30000000</v>
      </c>
      <c r="J103" s="584">
        <f>+MATCH(D103,'inv rubricas'!D:D,0)</f>
        <v>37</v>
      </c>
    </row>
    <row r="104" spans="1:11" s="588" customFormat="1" ht="27" customHeight="1" x14ac:dyDescent="0.25">
      <c r="A104" s="534"/>
      <c r="B104" s="534"/>
      <c r="C104" s="538" t="s">
        <v>469</v>
      </c>
      <c r="D104" s="571" t="s">
        <v>750</v>
      </c>
      <c r="E104" s="567">
        <v>2000000</v>
      </c>
      <c r="F104" s="568"/>
      <c r="G104" s="569"/>
      <c r="H104" s="569">
        <v>0</v>
      </c>
      <c r="I104" s="567">
        <f t="shared" si="6"/>
        <v>2000000</v>
      </c>
      <c r="J104" s="584">
        <f>+MATCH(D104,'inv rubricas'!D:D,0)</f>
        <v>38</v>
      </c>
    </row>
    <row r="105" spans="1:11" s="583" customFormat="1" ht="23.25" customHeight="1" x14ac:dyDescent="0.25">
      <c r="A105" s="526"/>
      <c r="B105" s="526"/>
      <c r="C105" s="595" t="s">
        <v>469</v>
      </c>
      <c r="D105" s="591" t="s">
        <v>1143</v>
      </c>
      <c r="E105" s="593">
        <v>5000000</v>
      </c>
      <c r="F105" s="594"/>
      <c r="G105" s="599"/>
      <c r="H105" s="599"/>
      <c r="I105" s="593">
        <f t="shared" si="6"/>
        <v>5000000</v>
      </c>
      <c r="J105" s="584">
        <f>+MATCH(D105,'inv rubricas'!D:D,0)</f>
        <v>39</v>
      </c>
      <c r="K105" s="585"/>
    </row>
    <row r="106" spans="1:11" s="588" customFormat="1" ht="30" customHeight="1" x14ac:dyDescent="0.25">
      <c r="A106" s="534"/>
      <c r="B106" s="534"/>
      <c r="C106" s="600" t="s">
        <v>469</v>
      </c>
      <c r="D106" s="591" t="s">
        <v>1144</v>
      </c>
      <c r="E106" s="592">
        <v>5000000</v>
      </c>
      <c r="F106" s="601"/>
      <c r="G106" s="569">
        <v>0</v>
      </c>
      <c r="H106" s="569">
        <v>0</v>
      </c>
      <c r="I106" s="567">
        <f t="shared" si="6"/>
        <v>5000000</v>
      </c>
      <c r="J106" s="584">
        <f>+MATCH(D106,'inv rubricas'!D:D,0)</f>
        <v>40</v>
      </c>
      <c r="K106" s="589"/>
    </row>
    <row r="107" spans="1:11" s="583" customFormat="1" ht="25.5" customHeight="1" x14ac:dyDescent="0.25">
      <c r="A107" s="526"/>
      <c r="B107" s="526"/>
      <c r="C107" s="600" t="s">
        <v>469</v>
      </c>
      <c r="D107" s="591" t="s">
        <v>1150</v>
      </c>
      <c r="E107" s="592">
        <v>20000000</v>
      </c>
      <c r="F107" s="573"/>
      <c r="G107" s="602">
        <v>0</v>
      </c>
      <c r="H107" s="602">
        <v>0</v>
      </c>
      <c r="I107" s="592">
        <f t="shared" si="6"/>
        <v>20000000</v>
      </c>
      <c r="J107" s="584">
        <f>+MATCH(D107,'inv rubricas'!D:D,0)</f>
        <v>10</v>
      </c>
      <c r="K107" s="585"/>
    </row>
    <row r="108" spans="1:11" s="583" customFormat="1" ht="27.75" hidden="1" customHeight="1" x14ac:dyDescent="0.25">
      <c r="A108" s="526"/>
      <c r="B108" s="526"/>
      <c r="C108" s="600" t="s">
        <v>469</v>
      </c>
      <c r="D108" s="570"/>
      <c r="E108" s="557"/>
      <c r="F108" s="565"/>
      <c r="G108" s="599"/>
      <c r="H108" s="599"/>
      <c r="I108" s="592">
        <f t="shared" si="6"/>
        <v>0</v>
      </c>
      <c r="J108" s="584"/>
      <c r="K108" s="585"/>
    </row>
    <row r="109" spans="1:11" s="583" customFormat="1" ht="27.75" hidden="1" customHeight="1" x14ac:dyDescent="0.25">
      <c r="A109" s="526"/>
      <c r="B109" s="526"/>
      <c r="C109" s="600" t="s">
        <v>469</v>
      </c>
      <c r="D109" s="570"/>
      <c r="E109" s="557"/>
      <c r="F109" s="565"/>
      <c r="G109" s="599"/>
      <c r="H109" s="599"/>
      <c r="I109" s="592">
        <f t="shared" si="6"/>
        <v>0</v>
      </c>
      <c r="J109" s="584"/>
      <c r="K109" s="585"/>
    </row>
    <row r="110" spans="1:11" s="583" customFormat="1" ht="20.25" customHeight="1" x14ac:dyDescent="0.25">
      <c r="A110" s="526"/>
      <c r="B110" s="526"/>
      <c r="C110" s="600" t="s">
        <v>469</v>
      </c>
      <c r="D110" s="591" t="s">
        <v>917</v>
      </c>
      <c r="E110" s="593"/>
      <c r="F110" s="594">
        <v>45000000</v>
      </c>
      <c r="G110" s="599">
        <v>20000000</v>
      </c>
      <c r="H110" s="599"/>
      <c r="I110" s="592">
        <f t="shared" si="6"/>
        <v>65000000</v>
      </c>
      <c r="J110" s="584">
        <f>+MATCH(D110,'inv rubricas'!D:D,0)</f>
        <v>42</v>
      </c>
      <c r="K110" s="585"/>
    </row>
    <row r="111" spans="1:11" s="583" customFormat="1" ht="24.75" hidden="1" customHeight="1" x14ac:dyDescent="0.25">
      <c r="A111" s="526"/>
      <c r="B111" s="526"/>
      <c r="C111" s="600" t="s">
        <v>469</v>
      </c>
      <c r="D111" s="570"/>
      <c r="E111" s="557"/>
      <c r="F111" s="565"/>
      <c r="G111" s="572"/>
      <c r="H111" s="572"/>
      <c r="I111" s="567">
        <f t="shared" si="6"/>
        <v>0</v>
      </c>
      <c r="J111" s="584"/>
      <c r="K111" s="585"/>
    </row>
    <row r="112" spans="1:11" s="583" customFormat="1" ht="32.25" customHeight="1" x14ac:dyDescent="0.25">
      <c r="A112" s="526"/>
      <c r="B112" s="526"/>
      <c r="C112" s="536" t="s">
        <v>469</v>
      </c>
      <c r="D112" s="591" t="s">
        <v>1149</v>
      </c>
      <c r="E112" s="593">
        <v>1000000</v>
      </c>
      <c r="F112" s="562">
        <v>3000000</v>
      </c>
      <c r="G112" s="563">
        <v>0</v>
      </c>
      <c r="H112" s="563">
        <v>0</v>
      </c>
      <c r="I112" s="546">
        <f t="shared" si="6"/>
        <v>4000000</v>
      </c>
      <c r="J112" s="584">
        <f>+MATCH(D112,'inv rubricas'!D:D,0)</f>
        <v>41</v>
      </c>
      <c r="K112" s="585"/>
    </row>
    <row r="113" spans="1:17" s="583" customFormat="1" ht="27" customHeight="1" x14ac:dyDescent="0.25">
      <c r="A113" s="526"/>
      <c r="B113" s="526"/>
      <c r="C113" s="536" t="s">
        <v>469</v>
      </c>
      <c r="D113" s="591" t="s">
        <v>1127</v>
      </c>
      <c r="E113" s="546">
        <v>1000000</v>
      </c>
      <c r="F113" s="562">
        <v>3000000</v>
      </c>
      <c r="G113" s="563"/>
      <c r="H113" s="563"/>
      <c r="I113" s="546">
        <f t="shared" ref="I113:I122" si="8">+SUM(E113:H113)</f>
        <v>4000000</v>
      </c>
      <c r="J113" s="584">
        <f>+MATCH(D113,'inv rubricas'!D:D,0)</f>
        <v>43</v>
      </c>
      <c r="K113" s="585"/>
    </row>
    <row r="114" spans="1:17" s="583" customFormat="1" ht="15.75" hidden="1" x14ac:dyDescent="0.25">
      <c r="A114" s="526"/>
      <c r="B114" s="526"/>
      <c r="C114" s="536" t="s">
        <v>469</v>
      </c>
      <c r="D114" s="571"/>
      <c r="E114" s="546"/>
      <c r="F114" s="562"/>
      <c r="G114" s="563"/>
      <c r="H114" s="563">
        <v>0</v>
      </c>
      <c r="I114" s="546">
        <f t="shared" si="8"/>
        <v>0</v>
      </c>
      <c r="J114" s="584"/>
    </row>
    <row r="115" spans="1:17" s="588" customFormat="1" ht="15.75" hidden="1" x14ac:dyDescent="0.25">
      <c r="A115" s="534"/>
      <c r="B115" s="534"/>
      <c r="C115" s="538" t="s">
        <v>469</v>
      </c>
      <c r="D115" s="571"/>
      <c r="E115" s="567"/>
      <c r="F115" s="568"/>
      <c r="G115" s="569"/>
      <c r="H115" s="569">
        <v>0</v>
      </c>
      <c r="I115" s="567">
        <f t="shared" si="8"/>
        <v>0</v>
      </c>
      <c r="J115" s="584"/>
    </row>
    <row r="116" spans="1:17" s="583" customFormat="1" ht="15.95" customHeight="1" x14ac:dyDescent="0.25">
      <c r="A116" s="519">
        <v>6</v>
      </c>
      <c r="B116" s="537" t="s">
        <v>863</v>
      </c>
      <c r="C116" s="532"/>
      <c r="D116" s="555" t="s">
        <v>810</v>
      </c>
      <c r="E116" s="554">
        <f>E117+E120</f>
        <v>1800000</v>
      </c>
      <c r="F116" s="554">
        <f>+F117+F120</f>
        <v>16000000</v>
      </c>
      <c r="G116" s="554">
        <f>G117</f>
        <v>0</v>
      </c>
      <c r="H116" s="554">
        <f>H117</f>
        <v>0</v>
      </c>
      <c r="I116" s="554">
        <f t="shared" si="8"/>
        <v>17800000</v>
      </c>
    </row>
    <row r="117" spans="1:17" s="583" customFormat="1" ht="15.95" customHeight="1" x14ac:dyDescent="0.25">
      <c r="A117" s="519">
        <v>6</v>
      </c>
      <c r="B117" s="537" t="s">
        <v>850</v>
      </c>
      <c r="C117" s="532"/>
      <c r="D117" s="574" t="s">
        <v>921</v>
      </c>
      <c r="E117" s="554">
        <f>+E118</f>
        <v>1000000</v>
      </c>
      <c r="F117" s="554">
        <f>+F118</f>
        <v>16000000</v>
      </c>
      <c r="G117" s="554">
        <f>+G118</f>
        <v>0</v>
      </c>
      <c r="H117" s="554">
        <f>+H118</f>
        <v>0</v>
      </c>
      <c r="I117" s="554">
        <f t="shared" si="8"/>
        <v>17000000</v>
      </c>
    </row>
    <row r="118" spans="1:17" s="588" customFormat="1" ht="27.75" customHeight="1" x14ac:dyDescent="0.25">
      <c r="A118" s="515"/>
      <c r="B118" s="539" t="s">
        <v>843</v>
      </c>
      <c r="C118" s="540"/>
      <c r="D118" s="574" t="s">
        <v>922</v>
      </c>
      <c r="E118" s="575">
        <f>E119</f>
        <v>1000000</v>
      </c>
      <c r="F118" s="575">
        <f>F119</f>
        <v>16000000</v>
      </c>
      <c r="G118" s="575">
        <f>G119</f>
        <v>0</v>
      </c>
      <c r="H118" s="575">
        <f>H119</f>
        <v>0</v>
      </c>
      <c r="I118" s="575">
        <f t="shared" si="8"/>
        <v>17000000</v>
      </c>
    </row>
    <row r="119" spans="1:17" s="583" customFormat="1" ht="15.95" customHeight="1" x14ac:dyDescent="0.25">
      <c r="A119" s="526"/>
      <c r="B119" s="526"/>
      <c r="C119" s="536" t="s">
        <v>469</v>
      </c>
      <c r="D119" s="576" t="s">
        <v>784</v>
      </c>
      <c r="E119" s="546">
        <v>1000000</v>
      </c>
      <c r="F119" s="563">
        <v>16000000</v>
      </c>
      <c r="G119" s="563">
        <v>0</v>
      </c>
      <c r="H119" s="563">
        <v>0</v>
      </c>
      <c r="I119" s="546">
        <f t="shared" si="8"/>
        <v>17000000</v>
      </c>
      <c r="J119" s="584">
        <f>+MATCH(D119,'inv rubricas'!D:D,0)</f>
        <v>44</v>
      </c>
    </row>
    <row r="120" spans="1:17" s="583" customFormat="1" ht="15" customHeight="1" x14ac:dyDescent="0.25">
      <c r="A120" s="537"/>
      <c r="B120" s="537">
        <v>4</v>
      </c>
      <c r="C120" s="537"/>
      <c r="D120" s="574" t="s">
        <v>923</v>
      </c>
      <c r="E120" s="577">
        <f t="shared" ref="E120:H121" si="9">+E121</f>
        <v>800000</v>
      </c>
      <c r="F120" s="578">
        <f t="shared" si="9"/>
        <v>0</v>
      </c>
      <c r="G120" s="578">
        <f t="shared" si="9"/>
        <v>0</v>
      </c>
      <c r="H120" s="578">
        <f t="shared" si="9"/>
        <v>0</v>
      </c>
      <c r="I120" s="578">
        <f t="shared" si="8"/>
        <v>800000</v>
      </c>
    </row>
    <row r="121" spans="1:17" s="583" customFormat="1" ht="15" customHeight="1" x14ac:dyDescent="0.25">
      <c r="A121" s="537"/>
      <c r="B121" s="537">
        <v>3</v>
      </c>
      <c r="C121" s="537"/>
      <c r="D121" s="574" t="s">
        <v>924</v>
      </c>
      <c r="E121" s="578">
        <f t="shared" si="9"/>
        <v>800000</v>
      </c>
      <c r="F121" s="578">
        <f t="shared" si="9"/>
        <v>0</v>
      </c>
      <c r="G121" s="578">
        <f t="shared" si="9"/>
        <v>0</v>
      </c>
      <c r="H121" s="578">
        <f t="shared" si="9"/>
        <v>0</v>
      </c>
      <c r="I121" s="578">
        <f t="shared" si="8"/>
        <v>800000</v>
      </c>
    </row>
    <row r="122" spans="1:17" s="583" customFormat="1" ht="15" customHeight="1" x14ac:dyDescent="0.25">
      <c r="A122" s="526"/>
      <c r="B122" s="537"/>
      <c r="C122" s="536" t="s">
        <v>449</v>
      </c>
      <c r="D122" s="571" t="s">
        <v>925</v>
      </c>
      <c r="E122" s="563">
        <v>800000</v>
      </c>
      <c r="F122" s="563"/>
      <c r="G122" s="563">
        <v>0</v>
      </c>
      <c r="H122" s="563">
        <v>0</v>
      </c>
      <c r="I122" s="563">
        <f t="shared" si="8"/>
        <v>800000</v>
      </c>
      <c r="J122" s="584">
        <f>+MATCH(D122,'inv rubricas'!D:D,0)</f>
        <v>45</v>
      </c>
    </row>
    <row r="123" spans="1:17" x14ac:dyDescent="0.25">
      <c r="D123" s="369"/>
      <c r="E123" s="370"/>
      <c r="F123" s="370"/>
      <c r="G123" s="371"/>
      <c r="H123" s="370"/>
      <c r="I123" s="370"/>
    </row>
    <row r="124" spans="1:17" x14ac:dyDescent="0.25">
      <c r="D124" s="370"/>
      <c r="E124" s="370"/>
      <c r="F124" s="370"/>
      <c r="G124" s="372"/>
      <c r="H124" s="370"/>
      <c r="I124" s="370"/>
    </row>
    <row r="125" spans="1:17" ht="15.75" x14ac:dyDescent="0.25">
      <c r="A125" s="330" t="s">
        <v>1130</v>
      </c>
      <c r="B125" s="330"/>
      <c r="C125" s="330"/>
      <c r="D125" s="330"/>
      <c r="E125" s="330"/>
      <c r="F125" s="330"/>
      <c r="G125" s="330"/>
      <c r="H125" s="330"/>
      <c r="I125" s="330"/>
      <c r="J125" s="85"/>
      <c r="K125" s="85"/>
      <c r="L125" s="85"/>
      <c r="M125" s="85"/>
      <c r="N125" s="85"/>
      <c r="O125" s="85"/>
      <c r="P125" s="85"/>
      <c r="Q125" s="85"/>
    </row>
    <row r="126" spans="1:17" ht="22.5" customHeight="1" x14ac:dyDescent="0.25">
      <c r="A126" s="373"/>
      <c r="B126" s="330"/>
      <c r="C126" s="330"/>
      <c r="D126" s="330"/>
      <c r="E126" s="330"/>
      <c r="F126" s="330"/>
      <c r="G126" s="330"/>
      <c r="H126" s="330"/>
      <c r="I126" s="330"/>
      <c r="J126" s="85"/>
      <c r="K126" s="189"/>
      <c r="L126" s="189"/>
      <c r="M126" s="189"/>
      <c r="N126" s="190"/>
      <c r="O126" s="85"/>
      <c r="P126" s="189"/>
      <c r="Q126" s="85"/>
    </row>
    <row r="127" spans="1:17" ht="15.75" x14ac:dyDescent="0.25">
      <c r="A127" s="374" t="s">
        <v>376</v>
      </c>
      <c r="B127" s="374"/>
      <c r="C127" s="374"/>
      <c r="D127" s="374"/>
      <c r="E127" s="374"/>
      <c r="F127" s="374"/>
      <c r="G127" s="374"/>
      <c r="H127" s="374"/>
      <c r="I127" s="374"/>
    </row>
    <row r="128" spans="1:17" ht="15.75" x14ac:dyDescent="0.25">
      <c r="A128" s="375"/>
      <c r="B128" s="376"/>
      <c r="C128" s="375"/>
      <c r="D128" s="375"/>
      <c r="E128" s="375"/>
      <c r="F128" s="375"/>
      <c r="G128" s="375"/>
      <c r="H128" s="375"/>
      <c r="I128" s="375"/>
      <c r="J128" s="191"/>
      <c r="K128" s="191"/>
      <c r="L128" s="191"/>
      <c r="M128" s="191"/>
      <c r="N128" s="191"/>
      <c r="O128" s="191"/>
      <c r="P128" s="377"/>
      <c r="Q128" s="191"/>
    </row>
    <row r="129" spans="1:17" ht="15.75" x14ac:dyDescent="0.25">
      <c r="A129" s="375" t="s">
        <v>377</v>
      </c>
      <c r="B129" s="375"/>
      <c r="C129" s="375"/>
      <c r="D129" s="375"/>
      <c r="E129" s="375"/>
      <c r="F129" s="375"/>
      <c r="G129" s="375"/>
      <c r="H129" s="375"/>
      <c r="I129" s="375"/>
      <c r="J129" s="191"/>
      <c r="K129" s="191"/>
      <c r="L129" s="191"/>
      <c r="M129" s="191"/>
      <c r="N129" s="191"/>
      <c r="O129" s="191"/>
      <c r="P129" s="191"/>
      <c r="Q129" s="191"/>
    </row>
    <row r="130" spans="1:17" ht="15.75" x14ac:dyDescent="0.25">
      <c r="A130" s="271" t="s">
        <v>378</v>
      </c>
      <c r="B130" s="271"/>
      <c r="C130" s="271"/>
      <c r="D130" s="271"/>
      <c r="E130" s="271"/>
      <c r="F130" s="271"/>
      <c r="G130" s="271"/>
      <c r="H130" s="271"/>
      <c r="I130" s="271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25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25">
      <c r="D132" s="370"/>
      <c r="E132" s="370"/>
      <c r="F132" s="370"/>
      <c r="G132" s="370"/>
      <c r="H132" s="370"/>
      <c r="I132" s="370"/>
    </row>
    <row r="133" spans="1:17" x14ac:dyDescent="0.25">
      <c r="D133" s="378"/>
      <c r="E133" s="378"/>
      <c r="F133" s="378"/>
      <c r="G133" s="378"/>
      <c r="H133" s="378"/>
      <c r="I133" s="378"/>
    </row>
    <row r="134" spans="1:17" x14ac:dyDescent="0.25">
      <c r="D134" s="379"/>
      <c r="E134" s="379"/>
      <c r="F134" s="379"/>
      <c r="G134" s="379"/>
      <c r="H134" s="379"/>
      <c r="I134" s="379"/>
    </row>
    <row r="135" spans="1:17" x14ac:dyDescent="0.25">
      <c r="D135" s="379"/>
      <c r="E135" s="379"/>
      <c r="F135" s="379"/>
      <c r="G135" s="379"/>
      <c r="H135" s="379"/>
      <c r="I135" s="379"/>
    </row>
    <row r="136" spans="1:17" x14ac:dyDescent="0.25">
      <c r="D136" s="370"/>
      <c r="E136" s="370"/>
      <c r="F136" s="370"/>
      <c r="G136" s="370"/>
      <c r="H136" s="370"/>
      <c r="I136" s="370"/>
    </row>
    <row r="137" spans="1:17" x14ac:dyDescent="0.25">
      <c r="D137" s="378"/>
      <c r="E137" s="378"/>
      <c r="F137" s="378"/>
      <c r="G137" s="378"/>
      <c r="H137" s="378"/>
      <c r="I137" s="378"/>
    </row>
    <row r="138" spans="1:17" x14ac:dyDescent="0.25">
      <c r="D138" s="370"/>
      <c r="E138" s="370"/>
      <c r="F138" s="370"/>
      <c r="G138" s="370"/>
      <c r="H138" s="370"/>
      <c r="I138" s="370"/>
    </row>
    <row r="139" spans="1:17" x14ac:dyDescent="0.25">
      <c r="D139" s="370"/>
      <c r="E139" s="370"/>
      <c r="F139" s="370"/>
      <c r="G139" s="370"/>
      <c r="H139" s="370"/>
      <c r="I139" s="370"/>
    </row>
    <row r="140" spans="1:17" x14ac:dyDescent="0.25">
      <c r="D140" s="370"/>
      <c r="E140" s="370"/>
      <c r="F140" s="370"/>
      <c r="G140" s="370"/>
      <c r="H140" s="370"/>
      <c r="I140" s="370"/>
    </row>
    <row r="141" spans="1:17" x14ac:dyDescent="0.25">
      <c r="D141" s="378"/>
      <c r="E141" s="378"/>
      <c r="F141" s="378"/>
      <c r="G141" s="378"/>
      <c r="H141" s="378"/>
      <c r="I141" s="378"/>
    </row>
    <row r="142" spans="1:17" x14ac:dyDescent="0.25">
      <c r="D142" s="370"/>
      <c r="E142" s="370"/>
      <c r="F142" s="370"/>
      <c r="G142" s="370"/>
      <c r="H142" s="370"/>
      <c r="I142" s="370"/>
    </row>
    <row r="143" spans="1:17" x14ac:dyDescent="0.25">
      <c r="D143" s="370"/>
      <c r="E143" s="370"/>
      <c r="F143" s="370"/>
      <c r="G143" s="370"/>
      <c r="H143" s="370"/>
      <c r="I143" s="370"/>
    </row>
    <row r="144" spans="1:17" x14ac:dyDescent="0.25">
      <c r="D144" s="370"/>
      <c r="E144" s="370"/>
      <c r="F144" s="370"/>
      <c r="G144" s="370"/>
      <c r="H144" s="370"/>
      <c r="I144" s="370"/>
    </row>
    <row r="145" spans="4:9" x14ac:dyDescent="0.25">
      <c r="D145" s="378"/>
      <c r="E145" s="378"/>
      <c r="F145" s="378"/>
      <c r="G145" s="378"/>
      <c r="H145" s="378"/>
      <c r="I145" s="378"/>
    </row>
    <row r="146" spans="4:9" x14ac:dyDescent="0.25">
      <c r="D146" s="380"/>
      <c r="E146" s="380"/>
      <c r="F146" s="380"/>
      <c r="G146" s="380"/>
      <c r="H146" s="380"/>
      <c r="I146" s="380"/>
    </row>
    <row r="147" spans="4:9" x14ac:dyDescent="0.25">
      <c r="D147" s="370"/>
      <c r="E147" s="370"/>
      <c r="F147" s="370"/>
      <c r="G147" s="370"/>
      <c r="H147" s="370"/>
      <c r="I147" s="370"/>
    </row>
    <row r="148" spans="4:9" x14ac:dyDescent="0.25">
      <c r="D148" s="370"/>
      <c r="E148" s="620"/>
      <c r="F148" s="370"/>
      <c r="G148" s="370"/>
      <c r="H148" s="370"/>
      <c r="I148" s="370"/>
    </row>
    <row r="149" spans="4:9" x14ac:dyDescent="0.25">
      <c r="D149" s="378"/>
      <c r="E149" s="378"/>
      <c r="F149" s="378"/>
      <c r="G149" s="378"/>
      <c r="H149" s="378"/>
      <c r="I149" s="378"/>
    </row>
    <row r="150" spans="4:9" x14ac:dyDescent="0.25">
      <c r="D150" s="370"/>
      <c r="E150" s="370"/>
      <c r="F150" s="370"/>
      <c r="G150" s="370"/>
      <c r="H150" s="370"/>
      <c r="I150" s="370"/>
    </row>
    <row r="151" spans="4:9" x14ac:dyDescent="0.25">
      <c r="D151" s="370"/>
      <c r="E151" s="370"/>
      <c r="F151" s="370"/>
      <c r="G151" s="370"/>
      <c r="H151" s="370"/>
      <c r="I151" s="370"/>
    </row>
    <row r="152" spans="4:9" x14ac:dyDescent="0.25">
      <c r="D152" s="370"/>
      <c r="E152" s="370"/>
      <c r="F152" s="370"/>
      <c r="G152" s="370"/>
      <c r="H152" s="370"/>
      <c r="I152" s="370"/>
    </row>
    <row r="153" spans="4:9" x14ac:dyDescent="0.25">
      <c r="D153" s="370"/>
      <c r="E153" s="370"/>
      <c r="F153" s="370"/>
      <c r="G153" s="370"/>
      <c r="H153" s="370"/>
      <c r="I153" s="370"/>
    </row>
    <row r="154" spans="4:9" x14ac:dyDescent="0.25">
      <c r="D154" s="370"/>
      <c r="E154" s="370"/>
      <c r="F154" s="370"/>
      <c r="G154" s="370"/>
      <c r="H154" s="370"/>
      <c r="I154" s="370"/>
    </row>
    <row r="155" spans="4:9" x14ac:dyDescent="0.25">
      <c r="D155" s="370"/>
      <c r="E155" s="370"/>
      <c r="F155" s="370"/>
      <c r="G155" s="370"/>
      <c r="H155" s="370"/>
      <c r="I155" s="370"/>
    </row>
    <row r="156" spans="4:9" x14ac:dyDescent="0.25">
      <c r="D156" s="370"/>
      <c r="E156" s="370"/>
      <c r="F156" s="370"/>
      <c r="G156" s="370"/>
      <c r="H156" s="370"/>
      <c r="I156" s="370"/>
    </row>
    <row r="157" spans="4:9" x14ac:dyDescent="0.25">
      <c r="D157" s="370"/>
      <c r="E157" s="370"/>
      <c r="F157" s="370"/>
      <c r="G157" s="370"/>
      <c r="H157" s="370"/>
      <c r="I157" s="370"/>
    </row>
    <row r="158" spans="4:9" x14ac:dyDescent="0.25">
      <c r="D158" s="370"/>
      <c r="E158" s="370"/>
      <c r="F158" s="370"/>
      <c r="G158" s="370"/>
      <c r="H158" s="370"/>
      <c r="I158" s="370"/>
    </row>
    <row r="159" spans="4:9" x14ac:dyDescent="0.25">
      <c r="D159" s="370"/>
      <c r="E159" s="370"/>
      <c r="F159" s="370"/>
      <c r="G159" s="370"/>
      <c r="H159" s="370"/>
      <c r="I159" s="370"/>
    </row>
    <row r="160" spans="4:9" x14ac:dyDescent="0.25">
      <c r="D160" s="370" t="s">
        <v>1123</v>
      </c>
      <c r="E160" s="370"/>
      <c r="F160" s="370"/>
      <c r="G160" s="370"/>
      <c r="H160" s="370"/>
      <c r="I160" s="370"/>
    </row>
    <row r="161" spans="4:9" x14ac:dyDescent="0.25">
      <c r="D161" s="378"/>
      <c r="E161" s="378" t="s">
        <v>1123</v>
      </c>
      <c r="F161" s="378"/>
      <c r="G161" s="378"/>
      <c r="H161" s="378"/>
      <c r="I161" s="378"/>
    </row>
    <row r="162" spans="4:9" x14ac:dyDescent="0.25">
      <c r="D162" s="378"/>
      <c r="E162" s="378"/>
      <c r="F162" s="378"/>
      <c r="G162" s="378"/>
      <c r="H162" s="378"/>
      <c r="I162" s="378"/>
    </row>
    <row r="163" spans="4:9" x14ac:dyDescent="0.25">
      <c r="D163" s="370"/>
      <c r="E163" s="370"/>
      <c r="F163" s="370"/>
      <c r="G163" s="370"/>
      <c r="H163" s="370"/>
      <c r="I163" s="370"/>
    </row>
    <row r="164" spans="4:9" x14ac:dyDescent="0.25">
      <c r="D164" s="379"/>
      <c r="E164" s="379"/>
      <c r="F164" s="379"/>
      <c r="G164" s="379"/>
      <c r="H164" s="379"/>
      <c r="I164" s="379"/>
    </row>
    <row r="165" spans="4:9" x14ac:dyDescent="0.25">
      <c r="D165" s="380"/>
      <c r="E165" s="380"/>
      <c r="F165" s="380"/>
      <c r="G165" s="380"/>
      <c r="H165" s="380"/>
      <c r="I165" s="380"/>
    </row>
    <row r="166" spans="4:9" x14ac:dyDescent="0.25">
      <c r="D166" s="370"/>
      <c r="E166" s="370"/>
      <c r="F166" s="370"/>
      <c r="G166" s="370"/>
      <c r="H166" s="370"/>
      <c r="I166" s="370"/>
    </row>
    <row r="167" spans="4:9" x14ac:dyDescent="0.25">
      <c r="D167" s="370"/>
      <c r="E167" s="370"/>
      <c r="F167" s="370"/>
      <c r="G167" s="370"/>
      <c r="H167" s="370"/>
      <c r="I167" s="370"/>
    </row>
    <row r="168" spans="4:9" x14ac:dyDescent="0.25">
      <c r="D168" s="370"/>
      <c r="E168" s="370"/>
      <c r="F168" s="370"/>
      <c r="G168" s="370"/>
      <c r="H168" s="370"/>
      <c r="I168" s="370"/>
    </row>
    <row r="169" spans="4:9" x14ac:dyDescent="0.25">
      <c r="D169" s="370"/>
      <c r="E169" s="370"/>
      <c r="F169" s="370"/>
      <c r="G169" s="370"/>
      <c r="H169" s="370"/>
      <c r="I169" s="370"/>
    </row>
    <row r="170" spans="4:9" x14ac:dyDescent="0.25">
      <c r="D170" s="370"/>
      <c r="E170" s="370"/>
      <c r="F170" s="370"/>
      <c r="G170" s="370"/>
      <c r="H170" s="370"/>
      <c r="I170" s="370"/>
    </row>
    <row r="171" spans="4:9" x14ac:dyDescent="0.25">
      <c r="D171" s="370"/>
      <c r="E171" s="370"/>
      <c r="F171" s="370"/>
      <c r="G171" s="370"/>
      <c r="H171" s="370"/>
      <c r="I171" s="370"/>
    </row>
    <row r="172" spans="4:9" x14ac:dyDescent="0.25">
      <c r="D172" s="370"/>
      <c r="E172" s="370"/>
      <c r="F172" s="370"/>
      <c r="G172" s="370"/>
      <c r="H172" s="370"/>
      <c r="I172" s="370"/>
    </row>
    <row r="173" spans="4:9" x14ac:dyDescent="0.25">
      <c r="D173" s="370"/>
      <c r="E173" s="370"/>
      <c r="F173" s="370"/>
      <c r="G173" s="370"/>
      <c r="H173" s="370"/>
      <c r="I173" s="370"/>
    </row>
    <row r="174" spans="4:9" ht="6" customHeight="1" x14ac:dyDescent="0.25">
      <c r="D174" s="370"/>
      <c r="E174" s="370"/>
      <c r="F174" s="370"/>
      <c r="G174" s="370"/>
      <c r="H174" s="370"/>
      <c r="I174" s="370"/>
    </row>
    <row r="175" spans="4:9" ht="7.5" customHeight="1" x14ac:dyDescent="0.25">
      <c r="D175" s="368"/>
      <c r="E175" s="368"/>
      <c r="F175" s="368"/>
      <c r="G175" s="368"/>
      <c r="H175" s="368"/>
      <c r="I175" s="368"/>
    </row>
    <row r="176" spans="4:9" ht="15.75" x14ac:dyDescent="0.25">
      <c r="D176" s="381"/>
      <c r="E176" s="382"/>
      <c r="F176" s="382"/>
      <c r="G176" s="382"/>
      <c r="H176" s="382"/>
      <c r="I176" s="382"/>
    </row>
    <row r="177" spans="4:9" x14ac:dyDescent="0.25">
      <c r="D177" s="379"/>
      <c r="E177" s="379"/>
      <c r="F177" s="379"/>
      <c r="G177" s="379"/>
      <c r="H177" s="379"/>
      <c r="I177" s="379"/>
    </row>
    <row r="178" spans="4:9" x14ac:dyDescent="0.25">
      <c r="D178" s="379"/>
      <c r="E178" s="379"/>
      <c r="F178" s="379"/>
      <c r="G178" s="379"/>
      <c r="H178" s="379"/>
      <c r="I178" s="379"/>
    </row>
    <row r="179" spans="4:9" x14ac:dyDescent="0.25">
      <c r="D179" s="380"/>
      <c r="E179" s="379"/>
      <c r="F179" s="379"/>
      <c r="G179" s="379"/>
      <c r="H179" s="379"/>
      <c r="I179" s="379"/>
    </row>
    <row r="180" spans="4:9" x14ac:dyDescent="0.25">
      <c r="D180" s="380"/>
      <c r="E180" s="380"/>
      <c r="F180" s="380"/>
      <c r="G180" s="380"/>
      <c r="H180" s="380"/>
      <c r="I180" s="380"/>
    </row>
    <row r="181" spans="4:9" x14ac:dyDescent="0.25">
      <c r="D181" s="378"/>
      <c r="E181" s="378"/>
      <c r="F181" s="378"/>
      <c r="G181" s="378"/>
      <c r="H181" s="378"/>
      <c r="I181" s="378"/>
    </row>
    <row r="182" spans="4:9" x14ac:dyDescent="0.25">
      <c r="D182" s="379"/>
      <c r="E182" s="379"/>
      <c r="F182" s="379"/>
      <c r="G182" s="379"/>
      <c r="H182" s="379"/>
      <c r="I182" s="379"/>
    </row>
    <row r="183" spans="4:9" x14ac:dyDescent="0.25">
      <c r="D183" s="378"/>
      <c r="E183" s="378"/>
      <c r="F183" s="378"/>
      <c r="G183" s="378"/>
      <c r="H183" s="378"/>
      <c r="I183" s="378"/>
    </row>
    <row r="184" spans="4:9" x14ac:dyDescent="0.25">
      <c r="D184" s="379"/>
      <c r="E184" s="379"/>
      <c r="F184" s="379"/>
      <c r="G184" s="379"/>
      <c r="H184" s="379"/>
      <c r="I184" s="379"/>
    </row>
    <row r="185" spans="4:9" x14ac:dyDescent="0.25">
      <c r="D185" s="379"/>
      <c r="E185" s="379"/>
      <c r="F185" s="379"/>
      <c r="G185" s="379"/>
      <c r="H185" s="379"/>
      <c r="I185" s="379"/>
    </row>
    <row r="186" spans="4:9" x14ac:dyDescent="0.25">
      <c r="D186" s="370"/>
      <c r="E186" s="370"/>
      <c r="F186" s="370"/>
      <c r="G186" s="370"/>
      <c r="H186" s="370"/>
      <c r="I186" s="370"/>
    </row>
    <row r="187" spans="4:9" x14ac:dyDescent="0.25">
      <c r="D187" s="378"/>
      <c r="E187" s="378"/>
      <c r="F187" s="378"/>
      <c r="G187" s="378"/>
      <c r="H187" s="378"/>
      <c r="I187" s="378"/>
    </row>
    <row r="188" spans="4:9" x14ac:dyDescent="0.25">
      <c r="D188" s="370"/>
      <c r="E188" s="370"/>
      <c r="F188" s="370"/>
      <c r="G188" s="370"/>
      <c r="H188" s="370"/>
      <c r="I188" s="370"/>
    </row>
    <row r="189" spans="4:9" x14ac:dyDescent="0.25">
      <c r="D189" s="370"/>
      <c r="E189" s="370"/>
      <c r="F189" s="370"/>
      <c r="G189" s="370"/>
      <c r="H189" s="370"/>
      <c r="I189" s="370"/>
    </row>
    <row r="190" spans="4:9" x14ac:dyDescent="0.25">
      <c r="D190" s="370"/>
      <c r="E190" s="370"/>
      <c r="F190" s="370"/>
      <c r="G190" s="370"/>
      <c r="H190" s="370"/>
      <c r="I190" s="370"/>
    </row>
    <row r="191" spans="4:9" x14ac:dyDescent="0.25">
      <c r="D191" s="378"/>
      <c r="E191" s="378"/>
      <c r="F191" s="378"/>
      <c r="G191" s="378"/>
      <c r="H191" s="378"/>
      <c r="I191" s="378"/>
    </row>
    <row r="192" spans="4:9" x14ac:dyDescent="0.25">
      <c r="D192" s="370"/>
      <c r="E192" s="370"/>
      <c r="F192" s="370"/>
      <c r="G192" s="370"/>
      <c r="H192" s="370"/>
      <c r="I192" s="370"/>
    </row>
    <row r="193" spans="4:9" x14ac:dyDescent="0.25">
      <c r="D193" s="370"/>
      <c r="E193" s="370"/>
      <c r="F193" s="370"/>
      <c r="G193" s="370"/>
      <c r="H193" s="370"/>
      <c r="I193" s="370"/>
    </row>
    <row r="194" spans="4:9" x14ac:dyDescent="0.25">
      <c r="D194" s="378"/>
      <c r="E194" s="378"/>
      <c r="F194" s="378"/>
      <c r="G194" s="378"/>
      <c r="H194" s="378"/>
      <c r="I194" s="378"/>
    </row>
    <row r="195" spans="4:9" x14ac:dyDescent="0.25">
      <c r="D195" s="380"/>
      <c r="E195" s="380"/>
      <c r="F195" s="380"/>
      <c r="G195" s="380"/>
      <c r="H195" s="380"/>
      <c r="I195" s="380"/>
    </row>
    <row r="196" spans="4:9" x14ac:dyDescent="0.25">
      <c r="D196" s="370"/>
      <c r="E196" s="370"/>
      <c r="F196" s="370"/>
      <c r="G196" s="370"/>
      <c r="H196" s="370"/>
      <c r="I196" s="370"/>
    </row>
    <row r="197" spans="4:9" x14ac:dyDescent="0.25">
      <c r="D197" s="370"/>
      <c r="E197" s="370"/>
      <c r="F197" s="370"/>
      <c r="G197" s="370"/>
      <c r="H197" s="370"/>
      <c r="I197" s="370"/>
    </row>
    <row r="198" spans="4:9" x14ac:dyDescent="0.25">
      <c r="D198" s="378"/>
      <c r="E198" s="378"/>
      <c r="F198" s="378"/>
      <c r="G198" s="378"/>
      <c r="H198" s="378"/>
      <c r="I198" s="378"/>
    </row>
    <row r="199" spans="4:9" x14ac:dyDescent="0.25">
      <c r="D199" s="370"/>
      <c r="E199" s="370"/>
      <c r="F199" s="370"/>
      <c r="G199" s="370"/>
      <c r="H199" s="370"/>
      <c r="I199" s="370"/>
    </row>
    <row r="200" spans="4:9" x14ac:dyDescent="0.25">
      <c r="D200" s="370"/>
      <c r="E200" s="370"/>
      <c r="F200" s="370"/>
      <c r="G200" s="370"/>
      <c r="H200" s="370"/>
      <c r="I200" s="370"/>
    </row>
    <row r="201" spans="4:9" x14ac:dyDescent="0.25">
      <c r="D201" s="370"/>
      <c r="E201" s="370"/>
      <c r="F201" s="370"/>
      <c r="G201" s="370"/>
      <c r="H201" s="370"/>
      <c r="I201" s="370"/>
    </row>
    <row r="202" spans="4:9" x14ac:dyDescent="0.25">
      <c r="D202" s="370"/>
      <c r="E202" s="370"/>
      <c r="F202" s="370"/>
      <c r="G202" s="370"/>
      <c r="H202" s="370"/>
      <c r="I202" s="370"/>
    </row>
    <row r="203" spans="4:9" x14ac:dyDescent="0.25">
      <c r="D203" s="370"/>
      <c r="E203" s="370"/>
      <c r="F203" s="370"/>
      <c r="G203" s="370"/>
      <c r="H203" s="370"/>
      <c r="I203" s="370"/>
    </row>
    <row r="204" spans="4:9" x14ac:dyDescent="0.25">
      <c r="D204" s="370"/>
      <c r="E204" s="370"/>
      <c r="F204" s="370"/>
      <c r="G204" s="370"/>
      <c r="H204" s="370"/>
      <c r="I204" s="370"/>
    </row>
    <row r="205" spans="4:9" x14ac:dyDescent="0.25">
      <c r="D205" s="370"/>
      <c r="E205" s="370"/>
      <c r="F205" s="370"/>
      <c r="G205" s="370"/>
      <c r="H205" s="370"/>
      <c r="I205" s="370"/>
    </row>
    <row r="206" spans="4:9" x14ac:dyDescent="0.25">
      <c r="D206" s="370"/>
      <c r="E206" s="370"/>
      <c r="F206" s="370"/>
      <c r="G206" s="370"/>
      <c r="H206" s="370"/>
      <c r="I206" s="370"/>
    </row>
    <row r="207" spans="4:9" x14ac:dyDescent="0.25">
      <c r="D207" s="370"/>
      <c r="E207" s="370"/>
      <c r="F207" s="370"/>
      <c r="G207" s="370"/>
      <c r="H207" s="370"/>
      <c r="I207" s="370"/>
    </row>
    <row r="208" spans="4:9" x14ac:dyDescent="0.25">
      <c r="D208" s="370"/>
      <c r="E208" s="370"/>
      <c r="F208" s="370"/>
      <c r="G208" s="370"/>
      <c r="H208" s="370"/>
      <c r="I208" s="370"/>
    </row>
    <row r="209" spans="4:9" x14ac:dyDescent="0.25">
      <c r="D209" s="370"/>
      <c r="E209" s="370"/>
      <c r="F209" s="370"/>
      <c r="G209" s="370"/>
      <c r="H209" s="370"/>
      <c r="I209" s="370"/>
    </row>
    <row r="210" spans="4:9" x14ac:dyDescent="0.25">
      <c r="D210" s="378"/>
      <c r="E210" s="378"/>
      <c r="F210" s="378"/>
      <c r="G210" s="378"/>
      <c r="H210" s="378"/>
      <c r="I210" s="378"/>
    </row>
    <row r="211" spans="4:9" x14ac:dyDescent="0.25">
      <c r="D211" s="378"/>
      <c r="E211" s="378"/>
      <c r="F211" s="378"/>
      <c r="G211" s="378"/>
      <c r="H211" s="378"/>
      <c r="I211" s="378"/>
    </row>
    <row r="212" spans="4:9" x14ac:dyDescent="0.25">
      <c r="D212" s="378"/>
      <c r="E212" s="378"/>
      <c r="F212" s="378"/>
      <c r="G212" s="378"/>
      <c r="H212" s="378"/>
      <c r="I212" s="378"/>
    </row>
    <row r="213" spans="4:9" x14ac:dyDescent="0.25">
      <c r="D213" s="370"/>
      <c r="E213" s="370"/>
      <c r="F213" s="370"/>
      <c r="G213" s="370"/>
      <c r="H213" s="370"/>
      <c r="I213" s="370"/>
    </row>
    <row r="214" spans="4:9" x14ac:dyDescent="0.25">
      <c r="D214" s="379"/>
      <c r="E214" s="379"/>
      <c r="F214" s="379"/>
      <c r="G214" s="379"/>
      <c r="H214" s="379"/>
      <c r="I214" s="379"/>
    </row>
    <row r="215" spans="4:9" x14ac:dyDescent="0.25">
      <c r="D215" s="379"/>
      <c r="E215" s="379"/>
      <c r="F215" s="379"/>
      <c r="G215" s="379"/>
      <c r="H215" s="379"/>
      <c r="I215" s="379"/>
    </row>
    <row r="216" spans="4:9" x14ac:dyDescent="0.25">
      <c r="D216" s="380"/>
      <c r="E216" s="379"/>
      <c r="F216" s="379"/>
      <c r="G216" s="379"/>
      <c r="H216" s="379"/>
      <c r="I216" s="379"/>
    </row>
    <row r="217" spans="4:9" x14ac:dyDescent="0.25">
      <c r="D217" s="380"/>
      <c r="E217" s="380"/>
      <c r="F217" s="380"/>
      <c r="G217" s="380"/>
      <c r="H217" s="380"/>
      <c r="I217" s="380"/>
    </row>
    <row r="218" spans="4:9" x14ac:dyDescent="0.25">
      <c r="D218" s="378"/>
      <c r="E218" s="378"/>
      <c r="F218" s="378"/>
      <c r="G218" s="378"/>
      <c r="H218" s="378"/>
      <c r="I218" s="378"/>
    </row>
    <row r="219" spans="4:9" x14ac:dyDescent="0.25">
      <c r="D219" s="379"/>
      <c r="E219" s="379"/>
      <c r="F219" s="379"/>
      <c r="G219" s="379"/>
      <c r="H219" s="379"/>
      <c r="I219" s="379"/>
    </row>
    <row r="220" spans="4:9" x14ac:dyDescent="0.25">
      <c r="D220" s="378"/>
      <c r="E220" s="378"/>
      <c r="F220" s="378"/>
      <c r="G220" s="378"/>
      <c r="H220" s="378"/>
      <c r="I220" s="378"/>
    </row>
    <row r="221" spans="4:9" x14ac:dyDescent="0.25">
      <c r="D221" s="379"/>
      <c r="E221" s="379"/>
      <c r="F221" s="379"/>
      <c r="G221" s="379"/>
      <c r="H221" s="379"/>
      <c r="I221" s="379"/>
    </row>
    <row r="222" spans="4:9" x14ac:dyDescent="0.25">
      <c r="D222" s="379"/>
      <c r="E222" s="379"/>
      <c r="F222" s="379"/>
      <c r="G222" s="379"/>
      <c r="H222" s="379"/>
      <c r="I222" s="379"/>
    </row>
    <row r="223" spans="4:9" x14ac:dyDescent="0.25">
      <c r="D223" s="370"/>
      <c r="E223" s="370"/>
      <c r="F223" s="370"/>
      <c r="G223" s="370"/>
      <c r="H223" s="370"/>
      <c r="I223" s="370"/>
    </row>
    <row r="224" spans="4:9" x14ac:dyDescent="0.25">
      <c r="D224" s="378"/>
      <c r="E224" s="378"/>
      <c r="F224" s="378"/>
      <c r="G224" s="378"/>
      <c r="H224" s="378"/>
      <c r="I224" s="378"/>
    </row>
    <row r="225" spans="4:9" x14ac:dyDescent="0.25">
      <c r="D225" s="370"/>
      <c r="E225" s="370"/>
      <c r="F225" s="370"/>
      <c r="G225" s="370"/>
      <c r="H225" s="370"/>
      <c r="I225" s="370"/>
    </row>
    <row r="226" spans="4:9" x14ac:dyDescent="0.25">
      <c r="D226" s="370"/>
      <c r="E226" s="370"/>
      <c r="F226" s="370"/>
      <c r="G226" s="370"/>
      <c r="H226" s="370"/>
      <c r="I226" s="370"/>
    </row>
    <row r="227" spans="4:9" x14ac:dyDescent="0.25">
      <c r="D227" s="378"/>
      <c r="E227" s="378"/>
      <c r="F227" s="378"/>
      <c r="G227" s="378"/>
      <c r="H227" s="378"/>
      <c r="I227" s="378"/>
    </row>
    <row r="228" spans="4:9" x14ac:dyDescent="0.25">
      <c r="D228" s="370"/>
      <c r="E228" s="370"/>
      <c r="F228" s="370"/>
      <c r="G228" s="370"/>
      <c r="H228" s="370"/>
      <c r="I228" s="370"/>
    </row>
    <row r="229" spans="4:9" x14ac:dyDescent="0.25">
      <c r="D229" s="370"/>
      <c r="E229" s="370"/>
      <c r="F229" s="370"/>
      <c r="G229" s="370"/>
      <c r="H229" s="370"/>
      <c r="I229" s="370"/>
    </row>
    <row r="230" spans="4:9" x14ac:dyDescent="0.25">
      <c r="D230" s="370"/>
      <c r="E230" s="370"/>
      <c r="F230" s="370"/>
      <c r="G230" s="370"/>
      <c r="H230" s="370"/>
      <c r="I230" s="370"/>
    </row>
    <row r="231" spans="4:9" x14ac:dyDescent="0.25">
      <c r="D231" s="370"/>
      <c r="E231" s="370"/>
      <c r="F231" s="370"/>
      <c r="G231" s="370"/>
      <c r="H231" s="370"/>
      <c r="I231" s="370"/>
    </row>
    <row r="232" spans="4:9" x14ac:dyDescent="0.25">
      <c r="D232" s="370"/>
      <c r="E232" s="370"/>
      <c r="F232" s="370"/>
      <c r="G232" s="370"/>
      <c r="H232" s="370"/>
      <c r="I232" s="370"/>
    </row>
    <row r="233" spans="4:9" x14ac:dyDescent="0.25">
      <c r="D233" s="370"/>
      <c r="E233" s="370"/>
      <c r="F233" s="370"/>
      <c r="G233" s="370"/>
      <c r="H233" s="370"/>
      <c r="I233" s="370"/>
    </row>
    <row r="234" spans="4:9" x14ac:dyDescent="0.25">
      <c r="D234" s="370"/>
      <c r="E234" s="370"/>
      <c r="F234" s="370"/>
      <c r="G234" s="370"/>
      <c r="H234" s="370"/>
      <c r="I234" s="370"/>
    </row>
    <row r="235" spans="4:9" x14ac:dyDescent="0.25">
      <c r="D235" s="370"/>
      <c r="E235" s="370"/>
      <c r="F235" s="370"/>
      <c r="G235" s="370"/>
      <c r="H235" s="370"/>
      <c r="I235" s="370"/>
    </row>
    <row r="236" spans="4:9" x14ac:dyDescent="0.25">
      <c r="D236" s="370"/>
      <c r="E236" s="370"/>
      <c r="F236" s="370"/>
      <c r="G236" s="370"/>
      <c r="H236" s="370"/>
      <c r="I236" s="370"/>
    </row>
    <row r="237" spans="4:9" x14ac:dyDescent="0.25">
      <c r="D237" s="370"/>
      <c r="E237" s="370"/>
      <c r="F237" s="370"/>
      <c r="G237" s="370"/>
      <c r="H237" s="370"/>
      <c r="I237" s="370"/>
    </row>
    <row r="238" spans="4:9" ht="6" customHeight="1" x14ac:dyDescent="0.25">
      <c r="D238" s="370"/>
      <c r="E238" s="370"/>
      <c r="F238" s="370"/>
      <c r="G238" s="370"/>
      <c r="H238" s="370"/>
      <c r="I238" s="370"/>
    </row>
    <row r="239" spans="4:9" ht="6" customHeight="1" x14ac:dyDescent="0.25">
      <c r="D239" s="368"/>
      <c r="E239" s="368"/>
      <c r="F239" s="368"/>
      <c r="G239" s="368"/>
      <c r="H239" s="368"/>
      <c r="I239" s="368"/>
    </row>
    <row r="240" spans="4:9" ht="15.75" x14ac:dyDescent="0.25">
      <c r="D240" s="381"/>
      <c r="E240" s="382"/>
      <c r="F240" s="382"/>
      <c r="G240" s="382"/>
      <c r="H240" s="382"/>
      <c r="I240" s="382"/>
    </row>
    <row r="241" spans="4:9" x14ac:dyDescent="0.25">
      <c r="D241" s="379"/>
      <c r="E241" s="379"/>
      <c r="F241" s="379"/>
      <c r="G241" s="379"/>
      <c r="H241" s="379"/>
      <c r="I241" s="379"/>
    </row>
    <row r="242" spans="4:9" x14ac:dyDescent="0.25">
      <c r="D242" s="379"/>
      <c r="E242" s="379"/>
      <c r="F242" s="379"/>
      <c r="G242" s="379"/>
      <c r="H242" s="379"/>
      <c r="I242" s="379"/>
    </row>
    <row r="243" spans="4:9" x14ac:dyDescent="0.25">
      <c r="D243" s="380"/>
      <c r="E243" s="379"/>
      <c r="F243" s="379"/>
      <c r="G243" s="379"/>
      <c r="H243" s="379"/>
      <c r="I243" s="379"/>
    </row>
    <row r="244" spans="4:9" x14ac:dyDescent="0.25">
      <c r="D244" s="380"/>
      <c r="E244" s="380"/>
      <c r="F244" s="380"/>
      <c r="G244" s="380"/>
      <c r="H244" s="380"/>
      <c r="I244" s="380"/>
    </row>
    <row r="245" spans="4:9" x14ac:dyDescent="0.25">
      <c r="D245" s="378"/>
      <c r="E245" s="378"/>
      <c r="F245" s="378"/>
      <c r="G245" s="378"/>
      <c r="H245" s="378"/>
      <c r="I245" s="378"/>
    </row>
    <row r="246" spans="4:9" x14ac:dyDescent="0.25">
      <c r="D246" s="379"/>
      <c r="E246" s="379"/>
      <c r="F246" s="379"/>
      <c r="G246" s="379"/>
      <c r="H246" s="379"/>
      <c r="I246" s="379"/>
    </row>
    <row r="247" spans="4:9" x14ac:dyDescent="0.25">
      <c r="D247" s="379"/>
      <c r="E247" s="379"/>
      <c r="F247" s="379"/>
      <c r="G247" s="379"/>
      <c r="H247" s="379"/>
      <c r="I247" s="379"/>
    </row>
    <row r="248" spans="4:9" x14ac:dyDescent="0.25">
      <c r="D248" s="378"/>
      <c r="E248" s="378"/>
      <c r="F248" s="378"/>
      <c r="G248" s="378"/>
      <c r="H248" s="378"/>
      <c r="I248" s="378"/>
    </row>
    <row r="249" spans="4:9" x14ac:dyDescent="0.25">
      <c r="D249" s="379"/>
      <c r="E249" s="379"/>
      <c r="F249" s="379"/>
      <c r="G249" s="379"/>
      <c r="H249" s="379"/>
      <c r="I249" s="379"/>
    </row>
    <row r="250" spans="4:9" x14ac:dyDescent="0.25">
      <c r="D250" s="379"/>
      <c r="E250" s="379"/>
      <c r="F250" s="379"/>
      <c r="G250" s="379"/>
      <c r="H250" s="379"/>
      <c r="I250" s="379"/>
    </row>
    <row r="251" spans="4:9" x14ac:dyDescent="0.25">
      <c r="D251" s="370"/>
      <c r="E251" s="370"/>
      <c r="F251" s="370"/>
      <c r="G251" s="370"/>
      <c r="H251" s="370"/>
      <c r="I251" s="370"/>
    </row>
    <row r="252" spans="4:9" x14ac:dyDescent="0.25">
      <c r="D252" s="378"/>
      <c r="E252" s="378"/>
      <c r="F252" s="378"/>
      <c r="G252" s="378"/>
      <c r="H252" s="378"/>
      <c r="I252" s="378"/>
    </row>
    <row r="253" spans="4:9" x14ac:dyDescent="0.25">
      <c r="D253" s="370"/>
      <c r="E253" s="370"/>
      <c r="F253" s="370"/>
      <c r="G253" s="370"/>
      <c r="H253" s="370"/>
      <c r="I253" s="370"/>
    </row>
    <row r="254" spans="4:9" x14ac:dyDescent="0.25">
      <c r="D254" s="370"/>
      <c r="E254" s="370"/>
      <c r="F254" s="370"/>
      <c r="G254" s="370"/>
      <c r="H254" s="370"/>
      <c r="I254" s="370"/>
    </row>
    <row r="255" spans="4:9" x14ac:dyDescent="0.25">
      <c r="D255" s="370"/>
      <c r="E255" s="370"/>
      <c r="F255" s="370"/>
      <c r="G255" s="370"/>
      <c r="H255" s="370"/>
      <c r="I255" s="370"/>
    </row>
    <row r="256" spans="4:9" x14ac:dyDescent="0.25">
      <c r="D256" s="378"/>
      <c r="E256" s="378"/>
      <c r="F256" s="378"/>
      <c r="G256" s="378"/>
      <c r="H256" s="378"/>
      <c r="I256" s="378"/>
    </row>
    <row r="257" spans="4:9" x14ac:dyDescent="0.25">
      <c r="D257" s="370"/>
      <c r="E257" s="370"/>
      <c r="F257" s="370"/>
      <c r="G257" s="370"/>
      <c r="H257" s="370"/>
      <c r="I257" s="370"/>
    </row>
    <row r="258" spans="4:9" x14ac:dyDescent="0.25">
      <c r="D258" s="370"/>
      <c r="E258" s="370"/>
      <c r="F258" s="370"/>
      <c r="G258" s="370"/>
      <c r="H258" s="370"/>
      <c r="I258" s="370"/>
    </row>
    <row r="259" spans="4:9" x14ac:dyDescent="0.25">
      <c r="D259" s="370"/>
      <c r="E259" s="370"/>
      <c r="F259" s="370"/>
      <c r="G259" s="370"/>
      <c r="H259" s="370"/>
      <c r="I259" s="370"/>
    </row>
    <row r="260" spans="4:9" x14ac:dyDescent="0.25">
      <c r="D260" s="370"/>
      <c r="E260" s="370"/>
      <c r="F260" s="370"/>
      <c r="G260" s="370"/>
      <c r="H260" s="370"/>
      <c r="I260" s="370"/>
    </row>
    <row r="261" spans="4:9" x14ac:dyDescent="0.25">
      <c r="D261" s="370"/>
      <c r="E261" s="370"/>
      <c r="F261" s="370"/>
      <c r="G261" s="370"/>
      <c r="H261" s="370"/>
      <c r="I261" s="370"/>
    </row>
    <row r="262" spans="4:9" x14ac:dyDescent="0.25">
      <c r="D262" s="378"/>
      <c r="E262" s="378"/>
      <c r="F262" s="378"/>
      <c r="G262" s="378"/>
      <c r="H262" s="378"/>
      <c r="I262" s="378"/>
    </row>
    <row r="263" spans="4:9" x14ac:dyDescent="0.25">
      <c r="D263" s="380"/>
      <c r="E263" s="380"/>
      <c r="F263" s="380"/>
      <c r="G263" s="380"/>
      <c r="H263" s="380"/>
      <c r="I263" s="380"/>
    </row>
    <row r="264" spans="4:9" x14ac:dyDescent="0.25">
      <c r="D264" s="370"/>
      <c r="E264" s="370"/>
      <c r="F264" s="370"/>
      <c r="G264" s="370"/>
      <c r="H264" s="370"/>
      <c r="I264" s="370"/>
    </row>
    <row r="265" spans="4:9" x14ac:dyDescent="0.25">
      <c r="D265" s="370"/>
      <c r="E265" s="370"/>
      <c r="F265" s="370"/>
      <c r="G265" s="370"/>
      <c r="H265" s="370"/>
      <c r="I265" s="370"/>
    </row>
    <row r="266" spans="4:9" x14ac:dyDescent="0.25">
      <c r="D266" s="378"/>
      <c r="E266" s="378"/>
      <c r="F266" s="378"/>
      <c r="G266" s="378"/>
      <c r="H266" s="378"/>
      <c r="I266" s="378"/>
    </row>
    <row r="267" spans="4:9" x14ac:dyDescent="0.25">
      <c r="D267" s="370"/>
      <c r="E267" s="370"/>
      <c r="F267" s="370"/>
      <c r="G267" s="370"/>
      <c r="H267" s="370"/>
      <c r="I267" s="370"/>
    </row>
    <row r="268" spans="4:9" x14ac:dyDescent="0.25">
      <c r="D268" s="370"/>
      <c r="E268" s="370"/>
      <c r="F268" s="370"/>
      <c r="G268" s="370"/>
      <c r="H268" s="370"/>
      <c r="I268" s="370"/>
    </row>
    <row r="269" spans="4:9" x14ac:dyDescent="0.25">
      <c r="D269" s="370"/>
      <c r="E269" s="370"/>
      <c r="F269" s="370"/>
      <c r="G269" s="370"/>
      <c r="H269" s="370"/>
      <c r="I269" s="370"/>
    </row>
    <row r="270" spans="4:9" x14ac:dyDescent="0.25">
      <c r="D270" s="370"/>
      <c r="E270" s="370"/>
      <c r="F270" s="370"/>
      <c r="G270" s="370"/>
      <c r="H270" s="370"/>
      <c r="I270" s="370"/>
    </row>
    <row r="271" spans="4:9" x14ac:dyDescent="0.25">
      <c r="D271" s="370"/>
      <c r="E271" s="370"/>
      <c r="F271" s="370"/>
      <c r="G271" s="370"/>
      <c r="H271" s="370"/>
      <c r="I271" s="370"/>
    </row>
    <row r="272" spans="4:9" x14ac:dyDescent="0.25">
      <c r="D272" s="370"/>
      <c r="E272" s="370"/>
      <c r="F272" s="370"/>
      <c r="G272" s="370"/>
      <c r="H272" s="370"/>
      <c r="I272" s="370"/>
    </row>
    <row r="273" spans="4:9" x14ac:dyDescent="0.25">
      <c r="D273" s="370"/>
      <c r="E273" s="370"/>
      <c r="F273" s="370"/>
      <c r="G273" s="370"/>
      <c r="H273" s="370"/>
      <c r="I273" s="370"/>
    </row>
    <row r="274" spans="4:9" x14ac:dyDescent="0.25">
      <c r="D274" s="370"/>
      <c r="E274" s="370"/>
      <c r="F274" s="370"/>
      <c r="G274" s="370"/>
      <c r="H274" s="370"/>
      <c r="I274" s="370"/>
    </row>
    <row r="275" spans="4:9" x14ac:dyDescent="0.25">
      <c r="D275" s="370"/>
      <c r="E275" s="370"/>
      <c r="F275" s="370"/>
      <c r="G275" s="370"/>
      <c r="H275" s="370"/>
      <c r="I275" s="370"/>
    </row>
    <row r="276" spans="4:9" x14ac:dyDescent="0.25">
      <c r="D276" s="370"/>
      <c r="E276" s="370"/>
      <c r="F276" s="370"/>
      <c r="G276" s="370"/>
      <c r="H276" s="370"/>
      <c r="I276" s="370"/>
    </row>
    <row r="277" spans="4:9" x14ac:dyDescent="0.25">
      <c r="D277" s="370"/>
      <c r="E277" s="370"/>
      <c r="F277" s="370"/>
      <c r="G277" s="370"/>
      <c r="H277" s="370"/>
      <c r="I277" s="370"/>
    </row>
    <row r="278" spans="4:9" x14ac:dyDescent="0.25">
      <c r="D278" s="370"/>
      <c r="E278" s="370"/>
      <c r="F278" s="370"/>
      <c r="G278" s="370"/>
      <c r="H278" s="370"/>
      <c r="I278" s="370"/>
    </row>
    <row r="279" spans="4:9" x14ac:dyDescent="0.25">
      <c r="D279" s="378"/>
      <c r="E279" s="378"/>
      <c r="F279" s="378"/>
      <c r="G279" s="378"/>
      <c r="H279" s="378"/>
      <c r="I279" s="378"/>
    </row>
    <row r="280" spans="4:9" x14ac:dyDescent="0.25">
      <c r="D280" s="370"/>
      <c r="E280" s="370"/>
      <c r="F280" s="370"/>
      <c r="G280" s="370"/>
      <c r="H280" s="370"/>
      <c r="I280" s="370"/>
    </row>
    <row r="281" spans="4:9" x14ac:dyDescent="0.25">
      <c r="D281" s="370"/>
      <c r="E281" s="370"/>
      <c r="F281" s="370"/>
      <c r="G281" s="370"/>
      <c r="H281" s="370"/>
      <c r="I281" s="370"/>
    </row>
    <row r="282" spans="4:9" x14ac:dyDescent="0.25">
      <c r="D282" s="378"/>
      <c r="E282" s="378"/>
      <c r="F282" s="378"/>
      <c r="G282" s="378"/>
      <c r="H282" s="378"/>
      <c r="I282" s="378"/>
    </row>
    <row r="283" spans="4:9" x14ac:dyDescent="0.25">
      <c r="D283" s="370"/>
      <c r="E283" s="370"/>
      <c r="F283" s="370"/>
      <c r="G283" s="370"/>
      <c r="H283" s="370"/>
      <c r="I283" s="370"/>
    </row>
    <row r="284" spans="4:9" x14ac:dyDescent="0.25">
      <c r="D284" s="370"/>
      <c r="E284" s="370"/>
      <c r="F284" s="370"/>
      <c r="G284" s="370"/>
      <c r="H284" s="370"/>
      <c r="I284" s="370"/>
    </row>
    <row r="285" spans="4:9" x14ac:dyDescent="0.25">
      <c r="D285" s="370"/>
      <c r="E285" s="370"/>
      <c r="F285" s="370"/>
      <c r="G285" s="370"/>
      <c r="H285" s="370"/>
      <c r="I285" s="370"/>
    </row>
    <row r="286" spans="4:9" x14ac:dyDescent="0.25">
      <c r="D286" s="370"/>
      <c r="E286" s="370"/>
      <c r="F286" s="370"/>
      <c r="G286" s="370"/>
      <c r="H286" s="370"/>
      <c r="I286" s="370"/>
    </row>
    <row r="287" spans="4:9" x14ac:dyDescent="0.25">
      <c r="D287" s="370"/>
      <c r="E287" s="370"/>
      <c r="F287" s="370"/>
      <c r="G287" s="370"/>
      <c r="H287" s="370"/>
      <c r="I287" s="370"/>
    </row>
    <row r="288" spans="4:9" x14ac:dyDescent="0.25">
      <c r="D288" s="378"/>
      <c r="E288" s="378"/>
      <c r="F288" s="378"/>
      <c r="G288" s="378"/>
      <c r="H288" s="378"/>
      <c r="I288" s="378"/>
    </row>
    <row r="289" spans="4:9" x14ac:dyDescent="0.25">
      <c r="D289" s="370"/>
      <c r="E289" s="370"/>
      <c r="F289" s="370"/>
      <c r="G289" s="370"/>
      <c r="H289" s="370"/>
      <c r="I289" s="370"/>
    </row>
    <row r="290" spans="4:9" x14ac:dyDescent="0.25">
      <c r="D290" s="370"/>
      <c r="E290" s="370"/>
      <c r="F290" s="370"/>
      <c r="G290" s="370"/>
      <c r="H290" s="370"/>
      <c r="I290" s="370"/>
    </row>
    <row r="291" spans="4:9" x14ac:dyDescent="0.25">
      <c r="D291" s="379"/>
      <c r="E291" s="378"/>
      <c r="F291" s="378"/>
      <c r="G291" s="378"/>
      <c r="H291" s="378"/>
      <c r="I291" s="378"/>
    </row>
    <row r="292" spans="4:9" x14ac:dyDescent="0.25">
      <c r="D292" s="379"/>
      <c r="E292" s="378"/>
      <c r="F292" s="378"/>
      <c r="G292" s="378"/>
      <c r="H292" s="378"/>
      <c r="I292" s="378"/>
    </row>
    <row r="293" spans="4:9" x14ac:dyDescent="0.25">
      <c r="D293" s="379"/>
      <c r="E293" s="370"/>
      <c r="F293" s="370"/>
      <c r="G293" s="370"/>
      <c r="H293" s="370"/>
      <c r="I293" s="370"/>
    </row>
    <row r="294" spans="4:9" x14ac:dyDescent="0.25">
      <c r="D294" s="379"/>
      <c r="E294" s="379"/>
      <c r="F294" s="379"/>
      <c r="G294" s="379"/>
      <c r="H294" s="379"/>
      <c r="I294" s="379"/>
    </row>
    <row r="295" spans="4:9" x14ac:dyDescent="0.25">
      <c r="D295" s="379"/>
      <c r="E295" s="370"/>
      <c r="F295" s="370"/>
      <c r="G295" s="370"/>
      <c r="H295" s="370"/>
      <c r="I295" s="370"/>
    </row>
    <row r="296" spans="4:9" x14ac:dyDescent="0.25">
      <c r="D296" s="379"/>
      <c r="E296" s="370"/>
      <c r="F296" s="370"/>
      <c r="G296" s="370"/>
      <c r="H296" s="370"/>
      <c r="I296" s="370"/>
    </row>
    <row r="297" spans="4:9" x14ac:dyDescent="0.25">
      <c r="D297" s="379"/>
      <c r="E297" s="370"/>
      <c r="F297" s="370"/>
      <c r="G297" s="370"/>
      <c r="H297" s="370"/>
      <c r="I297" s="370"/>
    </row>
    <row r="298" spans="4:9" x14ac:dyDescent="0.25">
      <c r="D298" s="379"/>
      <c r="E298" s="378"/>
      <c r="F298" s="378"/>
      <c r="G298" s="378"/>
      <c r="H298" s="378"/>
      <c r="I298" s="378"/>
    </row>
    <row r="299" spans="4:9" x14ac:dyDescent="0.25">
      <c r="D299" s="379"/>
      <c r="E299" s="370"/>
      <c r="F299" s="370"/>
      <c r="G299" s="370"/>
      <c r="H299" s="370"/>
      <c r="I299" s="370"/>
    </row>
    <row r="300" spans="4:9" x14ac:dyDescent="0.25">
      <c r="D300" s="370"/>
      <c r="E300" s="370"/>
      <c r="F300" s="370"/>
      <c r="G300" s="370"/>
      <c r="H300" s="370"/>
      <c r="I300" s="370"/>
    </row>
  </sheetData>
  <autoFilter ref="A15:I122"/>
  <printOptions horizontalCentered="1"/>
  <pageMargins left="0" right="0" top="0" bottom="0.74803149606299213" header="0.31496062992125984" footer="0.31496062992125984"/>
  <pageSetup paperSize="9" scale="65" orientation="landscape" r:id="rId1"/>
  <rowBreaks count="1" manualBreakCount="1">
    <brk id="77" max="8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K27" sqref="K27"/>
    </sheetView>
  </sheetViews>
  <sheetFormatPr defaultRowHeight="15" x14ac:dyDescent="0.25"/>
  <cols>
    <col min="1" max="1" width="41.28515625" customWidth="1"/>
    <col min="2" max="2" width="14.5703125" style="510" bestFit="1" customWidth="1"/>
    <col min="3" max="3" width="9.28515625" customWidth="1"/>
    <col min="4" max="4" width="49.42578125" bestFit="1" customWidth="1"/>
    <col min="6" max="6" width="30" bestFit="1" customWidth="1"/>
    <col min="7" max="7" width="12" customWidth="1"/>
    <col min="9" max="9" width="19.28515625" bestFit="1" customWidth="1"/>
    <col min="10" max="10" width="49.42578125" bestFit="1" customWidth="1"/>
    <col min="11" max="11" width="10" style="616" customWidth="1"/>
    <col min="12" max="12" width="10" bestFit="1" customWidth="1"/>
    <col min="16" max="16" width="106.5703125" bestFit="1" customWidth="1"/>
  </cols>
  <sheetData>
    <row r="1" spans="1:19" x14ac:dyDescent="0.25">
      <c r="A1" t="s">
        <v>1028</v>
      </c>
      <c r="B1" s="510" t="s">
        <v>1029</v>
      </c>
      <c r="C1" t="s">
        <v>1030</v>
      </c>
      <c r="D1" t="s">
        <v>427</v>
      </c>
      <c r="E1" t="s">
        <v>1147</v>
      </c>
      <c r="F1" t="s">
        <v>1148</v>
      </c>
    </row>
    <row r="2" spans="1:19" x14ac:dyDescent="0.25">
      <c r="A2" t="s">
        <v>1131</v>
      </c>
      <c r="B2" s="510">
        <f>INDEX(MapaX!I:I,MATCH(Table3[[#This Row],[nome]],MapaX!D:D,0))</f>
        <v>2100000</v>
      </c>
      <c r="C2" t="s">
        <v>469</v>
      </c>
      <c r="D2" t="str" cm="1">
        <f t="array" ref="D2">INDEX(S:S,MATCH(Table3[[#This Row],[nome]],P:P,0),)</f>
        <v xml:space="preserve">Dir.Ambiente e Saneamento </v>
      </c>
      <c r="E2">
        <f>MATCH(Table3[[#This Row],[nome]],MapaIII!C:C,0)</f>
        <v>48</v>
      </c>
      <c r="G2">
        <f>MATCH(Table3[[#This Row],[nome]],MapaIII!C:C,0)</f>
        <v>48</v>
      </c>
      <c r="I2" s="514" t="s">
        <v>1031</v>
      </c>
      <c r="K2"/>
      <c r="P2" s="604" t="s">
        <v>838</v>
      </c>
      <c r="Q2" s="606">
        <v>500000</v>
      </c>
      <c r="R2" s="607" t="s">
        <v>449</v>
      </c>
      <c r="S2" s="608" t="s">
        <v>408</v>
      </c>
    </row>
    <row r="3" spans="1:19" x14ac:dyDescent="0.25">
      <c r="A3" t="s">
        <v>1136</v>
      </c>
      <c r="B3" s="510">
        <f>INDEX(MapaX!I:I,MATCH(Table3[[#This Row],[nome]],MapaX!D:D,0))</f>
        <v>500000</v>
      </c>
      <c r="C3" t="s">
        <v>500</v>
      </c>
      <c r="D3" t="str" cm="1">
        <f t="array" ref="D3">INDEX(S:S,MATCH(Table3[[#This Row],[nome]],P:P,0),)</f>
        <v>Dir. Turismo, Investimento e Emprendedorismo</v>
      </c>
      <c r="E3">
        <f>MATCH(Table3[[#This Row],[nome]],MapaIII!C:C,0)</f>
        <v>26</v>
      </c>
      <c r="G3">
        <f>MATCH(Table3[[#This Row],[nome]],MapaIII!C:C,0)</f>
        <v>26</v>
      </c>
      <c r="I3" s="514" t="s">
        <v>1030</v>
      </c>
      <c r="J3" s="514" t="s">
        <v>427</v>
      </c>
      <c r="K3" t="s">
        <v>428</v>
      </c>
      <c r="P3" s="605" t="s">
        <v>1131</v>
      </c>
      <c r="Q3" s="609">
        <v>1100000</v>
      </c>
      <c r="R3" s="610" t="s">
        <v>469</v>
      </c>
      <c r="S3" s="611" t="s">
        <v>401</v>
      </c>
    </row>
    <row r="4" spans="1:19" x14ac:dyDescent="0.25">
      <c r="A4" t="s">
        <v>853</v>
      </c>
      <c r="B4" s="510">
        <f>INDEX(MapaX!I:I,MATCH(Table3[[#This Row],[nome]],MapaX!D:D,0))</f>
        <v>150000</v>
      </c>
      <c r="C4" t="s">
        <v>433</v>
      </c>
      <c r="D4" t="str" cm="1">
        <f t="array" ref="D4">INDEX(S:S,MATCH(Table3[[#This Row],[nome]],P:P,0),)</f>
        <v>Dir. Proteção Civil</v>
      </c>
      <c r="E4">
        <f>MATCH(Table3[[#This Row],[nome]],MapaIII!C:C,0)</f>
        <v>21</v>
      </c>
      <c r="G4">
        <f>MATCH(Table3[[#This Row],[nome]],MapaIII!C:C,0)</f>
        <v>21</v>
      </c>
      <c r="I4" t="s">
        <v>433</v>
      </c>
      <c r="J4" t="s">
        <v>402</v>
      </c>
      <c r="K4" s="619">
        <v>150000</v>
      </c>
      <c r="P4" s="605" t="s">
        <v>1136</v>
      </c>
      <c r="Q4" s="606">
        <v>2000000</v>
      </c>
      <c r="R4" s="607" t="s">
        <v>500</v>
      </c>
      <c r="S4" s="608" t="s">
        <v>406</v>
      </c>
    </row>
    <row r="5" spans="1:19" x14ac:dyDescent="0.25">
      <c r="A5" t="s">
        <v>773</v>
      </c>
      <c r="B5" s="510">
        <f>INDEX(MapaX!I:I,MATCH(Table3[[#This Row],[nome]],MapaX!D:D,0))</f>
        <v>110000</v>
      </c>
      <c r="C5" t="s">
        <v>449</v>
      </c>
      <c r="D5" t="str" cm="1">
        <f t="array" ref="D5">INDEX(S:S,MATCH(Table3[[#This Row],[nome]],P:P,0),)</f>
        <v>Direção da Educação, Formação Profissional, Emprego</v>
      </c>
      <c r="E5">
        <f>MATCH(Table3[[#This Row],[nome]],MapaIII!C:C,0)</f>
        <v>64</v>
      </c>
      <c r="G5">
        <f>MATCH(Table3[[#This Row],[nome]],MapaIII!C:C,0)</f>
        <v>64</v>
      </c>
      <c r="I5" t="s">
        <v>1032</v>
      </c>
      <c r="K5" s="615">
        <v>150000</v>
      </c>
      <c r="P5" s="605" t="s">
        <v>1020</v>
      </c>
      <c r="Q5" s="609">
        <v>1200000</v>
      </c>
      <c r="R5" s="610" t="s">
        <v>449</v>
      </c>
      <c r="S5" s="611" t="s">
        <v>411</v>
      </c>
    </row>
    <row r="6" spans="1:19" x14ac:dyDescent="0.25">
      <c r="A6" t="s">
        <v>1040</v>
      </c>
      <c r="B6" s="510">
        <f>INDEX(MapaX!I:I,MATCH(Table3[[#This Row],[nome]],MapaX!D:D,0))</f>
        <v>1010000</v>
      </c>
      <c r="C6" t="s">
        <v>449</v>
      </c>
      <c r="D6" t="str" cm="1">
        <f t="array" ref="D6">INDEX(S:S,MATCH(Table3[[#This Row],[nome]],P:P,0),)</f>
        <v>Direção da Educação, Formação Profissional, Emprego</v>
      </c>
      <c r="E6">
        <f>MATCH(Table3[[#This Row],[nome]],MapaIII!C:C,0)</f>
        <v>65</v>
      </c>
      <c r="G6">
        <f>MATCH(Table3[[#This Row],[nome]],MapaIII!C:C,0)</f>
        <v>65</v>
      </c>
      <c r="I6" t="s">
        <v>438</v>
      </c>
      <c r="J6" t="s">
        <v>406</v>
      </c>
      <c r="K6" s="619">
        <v>2000000</v>
      </c>
      <c r="P6" s="604" t="s">
        <v>853</v>
      </c>
      <c r="Q6" s="606">
        <v>100000</v>
      </c>
      <c r="R6" s="607" t="s">
        <v>433</v>
      </c>
      <c r="S6" s="608" t="s">
        <v>402</v>
      </c>
    </row>
    <row r="7" spans="1:19" x14ac:dyDescent="0.25">
      <c r="A7" t="s">
        <v>778</v>
      </c>
      <c r="B7" s="510">
        <f>INDEX(MapaX!I:I,MATCH(Table3[[#This Row],[nome]],MapaX!D:D,0))</f>
        <v>6000000</v>
      </c>
      <c r="C7" t="s">
        <v>449</v>
      </c>
      <c r="D7" t="str" cm="1">
        <f t="array" ref="D7">INDEX(S:S,MATCH(Table3[[#This Row],[nome]],P:P,0),)</f>
        <v>Direção da Educação, Formação Profissional, Emprego</v>
      </c>
      <c r="E7">
        <f>MATCH(Table3[[#This Row],[nome]],MapaIII!C:C,0)</f>
        <v>66</v>
      </c>
      <c r="G7">
        <f>MATCH(Table3[[#This Row],[nome]],MapaIII!C:C,0)</f>
        <v>66</v>
      </c>
      <c r="J7" t="s">
        <v>420</v>
      </c>
      <c r="K7" s="619">
        <v>4100000</v>
      </c>
      <c r="P7" s="605" t="s">
        <v>773</v>
      </c>
      <c r="Q7" s="609">
        <v>100000</v>
      </c>
      <c r="R7" s="610" t="s">
        <v>449</v>
      </c>
      <c r="S7" s="611" t="s">
        <v>408</v>
      </c>
    </row>
    <row r="8" spans="1:19" x14ac:dyDescent="0.25">
      <c r="A8" t="s">
        <v>776</v>
      </c>
      <c r="B8" s="510">
        <f>INDEX(MapaX!I:I,MATCH(Table3[[#This Row],[nome]],MapaX!D:D,0))</f>
        <v>700000</v>
      </c>
      <c r="C8" t="s">
        <v>449</v>
      </c>
      <c r="D8" t="str" cm="1">
        <f t="array" ref="D8">INDEX(S:S,MATCH(Table3[[#This Row],[nome]],P:P,0),)</f>
        <v>Direção da Educação, Formação Profissional, Emprego</v>
      </c>
      <c r="E8">
        <f>MATCH(Table3[[#This Row],[nome]],MapaIII!C:C,0)</f>
        <v>63</v>
      </c>
      <c r="G8">
        <f>MATCH(Table3[[#This Row],[nome]],MapaIII!C:C,0)</f>
        <v>63</v>
      </c>
      <c r="I8" t="s">
        <v>1033</v>
      </c>
      <c r="K8" s="615">
        <v>6100000</v>
      </c>
      <c r="P8" s="604" t="s">
        <v>1040</v>
      </c>
      <c r="Q8" s="606">
        <v>1000000</v>
      </c>
      <c r="R8" s="607" t="s">
        <v>449</v>
      </c>
      <c r="S8" s="608" t="s">
        <v>408</v>
      </c>
    </row>
    <row r="9" spans="1:19" x14ac:dyDescent="0.25">
      <c r="A9" t="s">
        <v>1027</v>
      </c>
      <c r="B9" s="510">
        <f>INDEX(MapaX!I:I,MATCH(Table3[[#This Row],[nome]],MapaX!D:D,0))</f>
        <v>1500000</v>
      </c>
      <c r="C9" t="s">
        <v>469</v>
      </c>
      <c r="D9" t="str" cm="1">
        <f t="array" ref="D9">INDEX(S:S,MATCH(Table3[[#This Row],[nome]],P:P,0),)</f>
        <v>Direção de Inovação e Desporto</v>
      </c>
      <c r="E9">
        <f>MATCH(Table3[[#This Row],[nome]],MapaIII!C:C,0)</f>
        <v>56</v>
      </c>
      <c r="G9">
        <f>MATCH(Table3[[#This Row],[nome]],MapaIII!C:C,0)</f>
        <v>56</v>
      </c>
      <c r="I9" t="s">
        <v>445</v>
      </c>
      <c r="J9" t="s">
        <v>409</v>
      </c>
      <c r="K9" s="619">
        <v>2700000</v>
      </c>
      <c r="P9" s="605" t="s">
        <v>778</v>
      </c>
      <c r="Q9" s="609">
        <v>3500000</v>
      </c>
      <c r="R9" s="610" t="s">
        <v>449</v>
      </c>
      <c r="S9" s="611" t="s">
        <v>408</v>
      </c>
    </row>
    <row r="10" spans="1:19" x14ac:dyDescent="0.25">
      <c r="A10" t="s">
        <v>861</v>
      </c>
      <c r="B10" s="510">
        <f>INDEX(MapaX!I:I,MATCH(Table3[[#This Row],[nome]],MapaX!D:D,0))</f>
        <v>2000000</v>
      </c>
      <c r="C10" t="s">
        <v>469</v>
      </c>
      <c r="D10" t="str" cm="1">
        <f t="array" ref="D10">INDEX(S:S,MATCH(Table3[[#This Row],[nome]],P:P,0),)</f>
        <v>Direção de Inovação e Desporto</v>
      </c>
      <c r="E10">
        <f>MATCH(Table3[[#This Row],[nome]],MapaIII!C:C,0)</f>
        <v>37</v>
      </c>
      <c r="G10">
        <f>MATCH(Table3[[#This Row],[nome]],MapaIII!C:C,0)</f>
        <v>37</v>
      </c>
      <c r="I10" t="s">
        <v>1034</v>
      </c>
      <c r="K10" s="615">
        <v>2700000</v>
      </c>
      <c r="P10" s="604" t="s">
        <v>776</v>
      </c>
      <c r="Q10" s="606">
        <v>300000</v>
      </c>
      <c r="R10" s="607" t="s">
        <v>449</v>
      </c>
      <c r="S10" s="608" t="s">
        <v>408</v>
      </c>
    </row>
    <row r="11" spans="1:19" x14ac:dyDescent="0.25">
      <c r="A11" t="s">
        <v>1021</v>
      </c>
      <c r="B11" s="510">
        <f>INDEX(MapaX!I:I,MATCH(Table3[[#This Row],[nome]],MapaX!D:D,0))</f>
        <v>3000000</v>
      </c>
      <c r="C11" t="s">
        <v>469</v>
      </c>
      <c r="D11" t="str" cm="1">
        <f t="array" ref="D11">INDEX(S:S,MATCH(Table3[[#This Row],[nome]],P:P,0),)</f>
        <v>Direção de Inovação e Desporto</v>
      </c>
      <c r="E11">
        <f>MATCH(Table3[[#This Row],[nome]],MapaIII!C:C,0)</f>
        <v>38</v>
      </c>
      <c r="G11">
        <f>MATCH(Table3[[#This Row],[nome]],MapaIII!C:C,0)</f>
        <v>38</v>
      </c>
      <c r="I11" t="s">
        <v>449</v>
      </c>
      <c r="J11" t="s">
        <v>403</v>
      </c>
      <c r="K11" s="619">
        <v>5500000</v>
      </c>
      <c r="P11" s="605" t="s">
        <v>1027</v>
      </c>
      <c r="Q11" s="609">
        <v>1150000</v>
      </c>
      <c r="R11" s="610" t="s">
        <v>469</v>
      </c>
      <c r="S11" s="611" t="s">
        <v>404</v>
      </c>
    </row>
    <row r="12" spans="1:19" x14ac:dyDescent="0.25">
      <c r="A12" t="s">
        <v>866</v>
      </c>
      <c r="B12" s="510">
        <f>INDEX(MapaX!I:I,MATCH(Table3[[#This Row],[nome]],MapaX!D:D,0))</f>
        <v>1800000</v>
      </c>
      <c r="C12" t="s">
        <v>449</v>
      </c>
      <c r="D12" t="str" cm="1">
        <f t="array" ref="D12">INDEX(S:S,MATCH(Table3[[#This Row],[nome]],P:P,0),)</f>
        <v>Direção da Educação, Formação Profissional, Emprego</v>
      </c>
      <c r="E12">
        <f>MATCH(Table3[[#This Row],[nome]],MapaIII!C:C,0)</f>
        <v>24</v>
      </c>
      <c r="G12">
        <f>MATCH(Table3[[#This Row],[nome]],MapaIII!C:C,0)</f>
        <v>24</v>
      </c>
      <c r="J12" t="s">
        <v>408</v>
      </c>
      <c r="K12" s="619">
        <v>10120000</v>
      </c>
      <c r="P12" s="604" t="s">
        <v>861</v>
      </c>
      <c r="Q12" s="606">
        <v>3205000</v>
      </c>
      <c r="R12" s="607" t="s">
        <v>469</v>
      </c>
      <c r="S12" s="608" t="s">
        <v>404</v>
      </c>
    </row>
    <row r="13" spans="1:19" x14ac:dyDescent="0.25">
      <c r="A13" t="s">
        <v>867</v>
      </c>
      <c r="B13" s="510">
        <f>INDEX(MapaX!I:I,MATCH(Table3[[#This Row],[nome]],MapaX!D:D,0))</f>
        <v>500000</v>
      </c>
      <c r="C13" t="s">
        <v>449</v>
      </c>
      <c r="D13" t="str" cm="1">
        <f t="array" ref="D13">INDEX(S:S,MATCH(Table3[[#This Row],[nome]],P:P,0),)</f>
        <v>Direção da Educação, Formação Profissional, Emprego</v>
      </c>
      <c r="E13">
        <f>MATCH(Table3[[#This Row],[nome]],MapaIII!C:C,0)</f>
        <v>23</v>
      </c>
      <c r="G13">
        <f>MATCH(Table3[[#This Row],[nome]],MapaIII!C:C,0)</f>
        <v>23</v>
      </c>
      <c r="J13" t="s">
        <v>409</v>
      </c>
      <c r="K13" s="619">
        <v>800000</v>
      </c>
      <c r="P13" s="605" t="s">
        <v>1021</v>
      </c>
      <c r="Q13" s="609">
        <v>2000000</v>
      </c>
      <c r="R13" s="610" t="s">
        <v>469</v>
      </c>
      <c r="S13" s="611" t="s">
        <v>404</v>
      </c>
    </row>
    <row r="14" spans="1:19" x14ac:dyDescent="0.25">
      <c r="A14" t="s">
        <v>770</v>
      </c>
      <c r="B14" s="510">
        <f>INDEX(MapaX!I:I,MATCH(Table3[[#This Row],[nome]],MapaX!D:D,0))</f>
        <v>5500000</v>
      </c>
      <c r="C14" t="s">
        <v>449</v>
      </c>
      <c r="D14" t="str" cm="1">
        <f t="array" ref="D14">INDEX(S:S,MATCH(Table3[[#This Row],[nome]],P:P,0),)</f>
        <v xml:space="preserve">Dir. Juventude e Cultura </v>
      </c>
      <c r="E14">
        <f>MATCH(Table3[[#This Row],[nome]],MapaIII!C:C,0)</f>
        <v>61</v>
      </c>
      <c r="G14">
        <f>MATCH(Table3[[#This Row],[nome]],MapaIII!C:C,0)</f>
        <v>61</v>
      </c>
      <c r="J14" t="s">
        <v>420</v>
      </c>
      <c r="K14" s="619">
        <v>9000000</v>
      </c>
      <c r="P14" s="604" t="s">
        <v>866</v>
      </c>
      <c r="Q14" s="606">
        <v>1100000</v>
      </c>
      <c r="R14" s="607" t="s">
        <v>449</v>
      </c>
      <c r="S14" s="608" t="s">
        <v>408</v>
      </c>
    </row>
    <row r="15" spans="1:19" x14ac:dyDescent="0.25">
      <c r="A15" t="s">
        <v>872</v>
      </c>
      <c r="B15" s="510">
        <f>INDEX(MapaX!I:I,MATCH(Table3[[#This Row],[nome]],MapaX!D:D,0))</f>
        <v>200000</v>
      </c>
      <c r="C15" t="s">
        <v>445</v>
      </c>
      <c r="D15" t="str" cm="1">
        <f t="array" ref="D15">INDEX(S:S,MATCH(Table3[[#This Row],[nome]],P:P,0),)</f>
        <v>Direcao da Familia, Inclusão, Genero e Saúde</v>
      </c>
      <c r="E15">
        <f>MATCH(Table3[[#This Row],[nome]],MapaIII!C:C,0)</f>
        <v>59</v>
      </c>
      <c r="G15">
        <f>MATCH(Table3[[#This Row],[nome]],MapaIII!C:C,0)</f>
        <v>59</v>
      </c>
      <c r="I15" t="s">
        <v>1035</v>
      </c>
      <c r="K15" s="615">
        <v>25420000</v>
      </c>
      <c r="P15" s="605" t="s">
        <v>867</v>
      </c>
      <c r="Q15" s="609">
        <v>400000</v>
      </c>
      <c r="R15" s="610" t="s">
        <v>449</v>
      </c>
      <c r="S15" s="611" t="s">
        <v>408</v>
      </c>
    </row>
    <row r="16" spans="1:19" x14ac:dyDescent="0.25">
      <c r="A16" t="s">
        <v>1137</v>
      </c>
      <c r="B16" s="510">
        <f>INDEX(MapaX!I:I,MATCH(Table3[[#This Row],[nome]],MapaX!D:D,0))</f>
        <v>2500000</v>
      </c>
      <c r="C16" t="s">
        <v>445</v>
      </c>
      <c r="D16" t="str" cm="1">
        <f t="array" ref="D16">INDEX(S:S,MATCH(Table3[[#This Row],[nome]],P:P,0),)</f>
        <v>Direcao da Familia, Inclusão, Genero e Saúde</v>
      </c>
      <c r="E16">
        <f>MATCH(Table3[[#This Row],[nome]],MapaIII!C:C,0)</f>
        <v>69</v>
      </c>
      <c r="G16">
        <f>MATCH(Table3[[#This Row],[nome]],MapaIII!C:C,0)</f>
        <v>69</v>
      </c>
      <c r="I16" t="s">
        <v>464</v>
      </c>
      <c r="J16" t="s">
        <v>420</v>
      </c>
      <c r="K16" s="619">
        <v>1500000</v>
      </c>
      <c r="P16" s="604" t="s">
        <v>770</v>
      </c>
      <c r="Q16" s="606">
        <v>4000000</v>
      </c>
      <c r="R16" s="607" t="s">
        <v>449</v>
      </c>
      <c r="S16" s="608" t="s">
        <v>403</v>
      </c>
    </row>
    <row r="17" spans="1:19" x14ac:dyDescent="0.25">
      <c r="A17" t="s">
        <v>875</v>
      </c>
      <c r="B17" s="510">
        <f>INDEX(MapaX!I:I,MATCH(Table3[[#This Row],[nome]],MapaX!D:D,0))</f>
        <v>3500000</v>
      </c>
      <c r="C17" t="s">
        <v>485</v>
      </c>
      <c r="D17" t="str" cm="1">
        <f t="array" ref="D17">INDEX(S:S,MATCH(Table3[[#This Row],[nome]],P:P,0),)</f>
        <v>Dir. do Comércio, Indústria, Transporte Feiras e Pesca</v>
      </c>
      <c r="E17">
        <f>MATCH(Table3[[#This Row],[nome]],MapaIII!C:C,0)</f>
        <v>25</v>
      </c>
      <c r="G17">
        <f>MATCH(Table3[[#This Row],[nome]],MapaIII!C:C,0)</f>
        <v>25</v>
      </c>
      <c r="I17" t="s">
        <v>1036</v>
      </c>
      <c r="K17" s="615">
        <v>1500000</v>
      </c>
      <c r="P17" s="605" t="s">
        <v>872</v>
      </c>
      <c r="Q17" s="609">
        <v>300000</v>
      </c>
      <c r="R17" s="610" t="s">
        <v>445</v>
      </c>
      <c r="S17" s="611" t="s">
        <v>409</v>
      </c>
    </row>
    <row r="18" spans="1:19" x14ac:dyDescent="0.25">
      <c r="A18" t="s">
        <v>877</v>
      </c>
      <c r="B18" s="510">
        <f>INDEX(MapaX!I:I,MATCH(Table3[[#This Row],[nome]],MapaX!D:D,0))</f>
        <v>1200000</v>
      </c>
      <c r="C18" t="s">
        <v>469</v>
      </c>
      <c r="D18" t="str" cm="1">
        <f t="array" ref="D18">INDEX(S:S,MATCH(Table3[[#This Row],[nome]],P:P,0),)</f>
        <v>Dir. Turismo, Investimento e Emprendedorismo</v>
      </c>
      <c r="E18">
        <f>MATCH(Table3[[#This Row],[nome]],MapaIII!C:C,0)</f>
        <v>28</v>
      </c>
      <c r="G18">
        <f>MATCH(Table3[[#This Row],[nome]],MapaIII!C:C,0)</f>
        <v>28</v>
      </c>
      <c r="I18" t="s">
        <v>469</v>
      </c>
      <c r="J18" t="s">
        <v>406</v>
      </c>
      <c r="K18" s="619">
        <v>1200000</v>
      </c>
      <c r="P18" s="604" t="s">
        <v>1137</v>
      </c>
      <c r="Q18" s="606">
        <v>2500000</v>
      </c>
      <c r="R18" s="607" t="s">
        <v>445</v>
      </c>
      <c r="S18" s="608" t="s">
        <v>409</v>
      </c>
    </row>
    <row r="19" spans="1:19" x14ac:dyDescent="0.25">
      <c r="A19" s="612" t="s">
        <v>1138</v>
      </c>
      <c r="B19" s="510">
        <f>INDEX(MapaX!I:I,MATCH(Table3[[#This Row],[nome]],MapaX!D:D,0))</f>
        <v>2000000</v>
      </c>
      <c r="C19" t="s">
        <v>438</v>
      </c>
      <c r="D19" t="s">
        <v>406</v>
      </c>
      <c r="E19">
        <f>MATCH(Table3[[#This Row],[nome]],MapaIII!C:C,0)</f>
        <v>27</v>
      </c>
      <c r="F19" t="e">
        <f ca="1">+_xlfn.XLOOKUP(Table3[[#This Row],[rubrica]],MapaII!A7:A172,MapaII!B7:B172)</f>
        <v>#NAME?</v>
      </c>
      <c r="G19">
        <f>MATCH(Table3[[#This Row],[nome]],MapaIII!C:C,0)</f>
        <v>27</v>
      </c>
      <c r="J19" t="s">
        <v>401</v>
      </c>
      <c r="K19" s="619">
        <v>2100000</v>
      </c>
      <c r="P19" s="605" t="s">
        <v>875</v>
      </c>
      <c r="Q19" s="609">
        <v>1000000</v>
      </c>
      <c r="R19" s="610" t="s">
        <v>485</v>
      </c>
      <c r="S19" s="611" t="s">
        <v>405</v>
      </c>
    </row>
    <row r="20" spans="1:19" x14ac:dyDescent="0.25">
      <c r="A20" t="s">
        <v>883</v>
      </c>
      <c r="B20" s="510">
        <f>INDEX(MapaX!I:I,MATCH(Table3[[#This Row],[nome]],MapaX!D:D,0))</f>
        <v>4000000</v>
      </c>
      <c r="C20" t="s">
        <v>469</v>
      </c>
      <c r="D20" t="str" cm="1">
        <f t="array" ref="D20">INDEX(S:S,MATCH(Table3[[#This Row],[nome]],P:P,0),)</f>
        <v>Direção de Obras</v>
      </c>
      <c r="E20">
        <f>MATCH(Table3[[#This Row],[nome]],MapaIII!C:C,0)</f>
        <v>29</v>
      </c>
      <c r="G20">
        <f>MATCH(Table3[[#This Row],[nome]],MapaIII!C:C,0)</f>
        <v>29</v>
      </c>
      <c r="J20" t="s">
        <v>409</v>
      </c>
      <c r="K20" s="619">
        <v>17000000</v>
      </c>
      <c r="P20" s="604" t="s">
        <v>877</v>
      </c>
      <c r="Q20" s="606">
        <v>1700000</v>
      </c>
      <c r="R20" s="607" t="s">
        <v>469</v>
      </c>
      <c r="S20" s="608" t="s">
        <v>406</v>
      </c>
    </row>
    <row r="21" spans="1:19" x14ac:dyDescent="0.25">
      <c r="A21" t="s">
        <v>758</v>
      </c>
      <c r="B21" s="510">
        <f>INDEX(MapaX!I:I,MATCH(Table3[[#This Row],[nome]],MapaX!D:D,0))</f>
        <v>2300000</v>
      </c>
      <c r="C21" t="s">
        <v>485</v>
      </c>
      <c r="D21" t="str" cm="1">
        <f t="array" ref="D21">INDEX(S:S,MATCH(Table3[[#This Row],[nome]],P:P,0),)</f>
        <v>Direção de Obras</v>
      </c>
      <c r="E21">
        <f>MATCH(Table3[[#This Row],[nome]],MapaIII!C:C,0)</f>
        <v>53</v>
      </c>
      <c r="G21">
        <f>MATCH(Table3[[#This Row],[nome]],MapaIII!C:C,0)</f>
        <v>53</v>
      </c>
      <c r="J21" t="s">
        <v>404</v>
      </c>
      <c r="K21" s="619">
        <v>6500000</v>
      </c>
      <c r="P21" s="605" t="s">
        <v>751</v>
      </c>
      <c r="Q21" s="609">
        <v>2000000</v>
      </c>
      <c r="R21" s="610" t="s">
        <v>438</v>
      </c>
      <c r="S21" s="611" t="s">
        <v>406</v>
      </c>
    </row>
    <row r="22" spans="1:19" x14ac:dyDescent="0.25">
      <c r="A22" t="s">
        <v>760</v>
      </c>
      <c r="B22" s="510">
        <f>INDEX(MapaX!I:I,MATCH(Table3[[#This Row],[nome]],MapaX!D:D,0))</f>
        <v>7000000</v>
      </c>
      <c r="C22" t="s">
        <v>469</v>
      </c>
      <c r="D22" t="str" cm="1">
        <f t="array" ref="D22">INDEX(S:S,MATCH(Table3[[#This Row],[nome]],P:P,0),)</f>
        <v>Direção de Obras</v>
      </c>
      <c r="E22">
        <f>MATCH(Table3[[#This Row],[nome]],MapaIII!C:C,0)</f>
        <v>54</v>
      </c>
      <c r="G22">
        <f>MATCH(Table3[[#This Row],[nome]],MapaIII!C:C,0)</f>
        <v>54</v>
      </c>
      <c r="J22" t="s">
        <v>420</v>
      </c>
      <c r="K22" s="619">
        <v>143600000</v>
      </c>
      <c r="P22" s="604" t="s">
        <v>732</v>
      </c>
      <c r="Q22" s="606">
        <v>3000000</v>
      </c>
      <c r="R22" s="607" t="s">
        <v>469</v>
      </c>
      <c r="S22" s="608" t="s">
        <v>420</v>
      </c>
    </row>
    <row r="23" spans="1:19" x14ac:dyDescent="0.25">
      <c r="A23" t="s">
        <v>886</v>
      </c>
      <c r="B23" s="510">
        <f>INDEX(MapaX!I:I,MATCH(Table3[[#This Row],[nome]],MapaX!D:D,0))</f>
        <v>2400000</v>
      </c>
      <c r="C23" t="s">
        <v>438</v>
      </c>
      <c r="D23" t="str" cm="1">
        <f t="array" ref="D23">INDEX(S:S,MATCH(Table3[[#This Row],[nome]],P:P,0),)</f>
        <v>Direção de Obras</v>
      </c>
      <c r="E23">
        <f>MATCH(Table3[[#This Row],[nome]],MapaIII!C:C,0)</f>
        <v>39</v>
      </c>
      <c r="G23">
        <f>MATCH(Table3[[#This Row],[nome]],MapaIII!C:C,0)</f>
        <v>39</v>
      </c>
      <c r="I23" t="s">
        <v>1037</v>
      </c>
      <c r="K23" s="615">
        <v>170400000</v>
      </c>
      <c r="P23" s="605" t="s">
        <v>883</v>
      </c>
      <c r="Q23" s="609">
        <v>5000000</v>
      </c>
      <c r="R23" s="610" t="s">
        <v>469</v>
      </c>
      <c r="S23" s="611" t="s">
        <v>420</v>
      </c>
    </row>
    <row r="24" spans="1:19" x14ac:dyDescent="0.25">
      <c r="A24" t="s">
        <v>761</v>
      </c>
      <c r="B24" s="510">
        <f>INDEX(MapaX!I:I,MATCH(Table3[[#This Row],[nome]],MapaX!D:D,0))</f>
        <v>1700000</v>
      </c>
      <c r="C24" t="s">
        <v>438</v>
      </c>
      <c r="D24" t="str" cm="1">
        <f t="array" ref="D24">INDEX(S:S,MATCH(Table3[[#This Row],[nome]],P:P,0),)</f>
        <v>Direção de Obras</v>
      </c>
      <c r="E24">
        <f>MATCH(Table3[[#This Row],[nome]],MapaIII!C:C,0)</f>
        <v>55</v>
      </c>
      <c r="G24">
        <f>MATCH(Table3[[#This Row],[nome]],MapaIII!C:C,0)</f>
        <v>55</v>
      </c>
      <c r="I24" t="s">
        <v>485</v>
      </c>
      <c r="J24" t="s">
        <v>405</v>
      </c>
      <c r="K24" s="619">
        <v>3500000</v>
      </c>
      <c r="P24" s="604" t="s">
        <v>758</v>
      </c>
      <c r="Q24" s="606">
        <v>1000000</v>
      </c>
      <c r="R24" s="607" t="s">
        <v>485</v>
      </c>
      <c r="S24" s="608" t="s">
        <v>420</v>
      </c>
    </row>
    <row r="25" spans="1:19" x14ac:dyDescent="0.25">
      <c r="A25" t="s">
        <v>1139</v>
      </c>
      <c r="B25" s="510">
        <f>INDEX(MapaX!I:I,MATCH(Table3[[#This Row],[nome]],MapaX!D:D,0))</f>
        <v>6500000</v>
      </c>
      <c r="C25" t="s">
        <v>449</v>
      </c>
      <c r="D25" t="str" cm="1">
        <f t="array" ref="D25">INDEX(S:S,MATCH(Table3[[#This Row],[nome]],P:P,0),)</f>
        <v>Direção de Obras</v>
      </c>
      <c r="E25">
        <f>MATCH(Table3[[#This Row],[nome]],MapaIII!C:C,0)</f>
        <v>32</v>
      </c>
      <c r="G25">
        <f>MATCH(Table3[[#This Row],[nome]],MapaIII!C:C,0)</f>
        <v>32</v>
      </c>
      <c r="J25" t="s">
        <v>420</v>
      </c>
      <c r="K25" s="619">
        <v>64650000</v>
      </c>
      <c r="P25" s="605" t="s">
        <v>760</v>
      </c>
      <c r="Q25" s="609">
        <v>15000000</v>
      </c>
      <c r="R25" s="610" t="s">
        <v>469</v>
      </c>
      <c r="S25" s="611" t="s">
        <v>420</v>
      </c>
    </row>
    <row r="26" spans="1:19" x14ac:dyDescent="0.25">
      <c r="A26" t="s">
        <v>890</v>
      </c>
      <c r="B26" s="510">
        <f>INDEX(MapaX!I:I,MATCH(Table3[[#This Row],[nome]],MapaX!D:D,0))</f>
        <v>200000</v>
      </c>
      <c r="C26" t="s">
        <v>469</v>
      </c>
      <c r="D26" t="str" cm="1">
        <f t="array" ref="D26">INDEX(S:S,MATCH(Table3[[#This Row],[nome]],P:P,0),)</f>
        <v>Direção de Obras</v>
      </c>
      <c r="E26">
        <f>MATCH(Table3[[#This Row],[nome]],MapaIII!C:C,0)</f>
        <v>52</v>
      </c>
      <c r="G26">
        <f>MATCH(Table3[[#This Row],[nome]],MapaIII!C:C,0)</f>
        <v>52</v>
      </c>
      <c r="I26" t="s">
        <v>1038</v>
      </c>
      <c r="K26" s="615">
        <v>68150000</v>
      </c>
      <c r="P26" s="604" t="s">
        <v>886</v>
      </c>
      <c r="Q26" s="606">
        <v>2500000</v>
      </c>
      <c r="R26" s="607" t="s">
        <v>438</v>
      </c>
      <c r="S26" s="608" t="s">
        <v>420</v>
      </c>
    </row>
    <row r="27" spans="1:19" x14ac:dyDescent="0.25">
      <c r="A27" t="s">
        <v>741</v>
      </c>
      <c r="B27" s="510">
        <f>INDEX(MapaX!I:I,MATCH(Table3[[#This Row],[nome]],MapaX!D:D,0))</f>
        <v>4000000</v>
      </c>
      <c r="C27" t="s">
        <v>485</v>
      </c>
      <c r="D27" t="str" cm="1">
        <f t="array" ref="D27">INDEX(S:S,MATCH(Table3[[#This Row],[nome]],P:P,0),)</f>
        <v>Direção de Obras</v>
      </c>
      <c r="E27">
        <f>MATCH(Table3[[#This Row],[nome]],MapaIII!C:C,0)</f>
        <v>33</v>
      </c>
      <c r="G27">
        <f>MATCH(Table3[[#This Row],[nome]],MapaIII!C:C,0)</f>
        <v>33</v>
      </c>
      <c r="I27" t="s">
        <v>500</v>
      </c>
      <c r="J27" t="s">
        <v>406</v>
      </c>
      <c r="K27" s="619">
        <v>500000</v>
      </c>
      <c r="P27" s="605" t="s">
        <v>761</v>
      </c>
      <c r="Q27" s="609">
        <v>1000000</v>
      </c>
      <c r="R27" s="610" t="s">
        <v>438</v>
      </c>
      <c r="S27" s="611" t="s">
        <v>420</v>
      </c>
    </row>
    <row r="28" spans="1:19" x14ac:dyDescent="0.25">
      <c r="A28" t="s">
        <v>893</v>
      </c>
      <c r="B28" s="510">
        <f>INDEX(MapaX!I:I,MATCH(Table3[[#This Row],[nome]],MapaX!D:D,0))</f>
        <v>4400000</v>
      </c>
      <c r="C28" t="s">
        <v>469</v>
      </c>
      <c r="D28" t="str" cm="1">
        <f t="array" ref="D28">INDEX(S:S,MATCH(Table3[[#This Row],[nome]],P:P,0),)</f>
        <v>Direção de Obras</v>
      </c>
      <c r="E28">
        <f>MATCH(Table3[[#This Row],[nome]],MapaIII!C:C,0)</f>
        <v>31</v>
      </c>
      <c r="G28">
        <f>MATCH(Table3[[#This Row],[nome]],MapaIII!C:C,0)</f>
        <v>31</v>
      </c>
      <c r="I28" t="s">
        <v>1039</v>
      </c>
      <c r="K28" s="615">
        <v>500000</v>
      </c>
      <c r="L28">
        <f>+GETPIVOTDATA("valor",$I$2)-268855000</f>
        <v>6065000</v>
      </c>
      <c r="P28" s="604" t="s">
        <v>1139</v>
      </c>
      <c r="Q28" s="606">
        <v>4000000</v>
      </c>
      <c r="R28" s="607" t="s">
        <v>449</v>
      </c>
      <c r="S28" s="608" t="s">
        <v>420</v>
      </c>
    </row>
    <row r="29" spans="1:19" x14ac:dyDescent="0.25">
      <c r="A29" s="612" t="s">
        <v>1135</v>
      </c>
      <c r="B29" s="510">
        <f>INDEX(MapaX!I:I,MATCH(Table3[[#This Row],[nome]],MapaX!D:D,0))</f>
        <v>33000000</v>
      </c>
      <c r="C29" t="s">
        <v>485</v>
      </c>
      <c r="D29" t="s">
        <v>420</v>
      </c>
      <c r="E29">
        <f>MATCH(Table3[[#This Row],[nome]],MapaIII!C:C,0)</f>
        <v>57</v>
      </c>
      <c r="G29">
        <f>MATCH(Table3[[#This Row],[nome]],MapaIII!C:C,0)</f>
        <v>57</v>
      </c>
      <c r="I29" t="s">
        <v>7</v>
      </c>
      <c r="K29" s="615">
        <v>274920000</v>
      </c>
      <c r="P29" s="605" t="s">
        <v>890</v>
      </c>
      <c r="Q29" s="609">
        <v>700000</v>
      </c>
      <c r="R29" s="610" t="s">
        <v>469</v>
      </c>
      <c r="S29" s="611" t="s">
        <v>420</v>
      </c>
    </row>
    <row r="30" spans="1:19" x14ac:dyDescent="0.25">
      <c r="A30" s="612" t="s">
        <v>1140</v>
      </c>
      <c r="B30" s="510">
        <f>INDEX(MapaX!I:I,MATCH(Table3[[#This Row],[nome]],MapaX!D:D,0))</f>
        <v>4700000</v>
      </c>
      <c r="C30" t="s">
        <v>485</v>
      </c>
      <c r="D30" t="s">
        <v>420</v>
      </c>
      <c r="E30">
        <f>MATCH(Table3[[#This Row],[nome]],MapaIII!C:C,0)</f>
        <v>40</v>
      </c>
      <c r="G30">
        <f>MATCH(Table3[[#This Row],[nome]],MapaIII!C:C,0)</f>
        <v>40</v>
      </c>
      <c r="P30" s="604" t="s">
        <v>741</v>
      </c>
      <c r="Q30" s="606">
        <v>4000000</v>
      </c>
      <c r="R30" s="607" t="s">
        <v>485</v>
      </c>
      <c r="S30" s="608" t="s">
        <v>420</v>
      </c>
    </row>
    <row r="31" spans="1:19" x14ac:dyDescent="0.25">
      <c r="A31" t="s">
        <v>901</v>
      </c>
      <c r="B31" s="510">
        <f>INDEX(MapaX!I:I,MATCH(Table3[[#This Row],[nome]],MapaX!D:D,0))</f>
        <v>650000</v>
      </c>
      <c r="C31" t="s">
        <v>485</v>
      </c>
      <c r="D31" t="str" cm="1">
        <f t="array" ref="D31">INDEX(S:S,MATCH(Table3[[#This Row],[nome]],P:P,0),)</f>
        <v>Direção de Obras</v>
      </c>
      <c r="E31">
        <f>MATCH(Table3[[#This Row],[nome]],MapaIII!C:C,0)</f>
        <v>20</v>
      </c>
      <c r="G31">
        <f>MATCH(Table3[[#This Row],[nome]],MapaIII!C:C,0)</f>
        <v>20</v>
      </c>
      <c r="P31" s="605" t="s">
        <v>892</v>
      </c>
      <c r="Q31" s="609">
        <v>2800000</v>
      </c>
      <c r="R31" s="610" t="s">
        <v>891</v>
      </c>
      <c r="S31" s="611" t="s">
        <v>420</v>
      </c>
    </row>
    <row r="32" spans="1:19" x14ac:dyDescent="0.25">
      <c r="A32" t="s">
        <v>1134</v>
      </c>
      <c r="B32" s="510">
        <f>INDEX(MapaX!I:I,MATCH(Table3[[#This Row],[nome]],MapaX!D:D,0))</f>
        <v>2500000</v>
      </c>
      <c r="C32" t="s">
        <v>449</v>
      </c>
      <c r="D32" t="str" cm="1">
        <f t="array" ref="D32">INDEX(S:S,MATCH(Table3[[#This Row],[nome]],P:P,0),)</f>
        <v>Direção de Obras</v>
      </c>
      <c r="E32">
        <f>MATCH(Table3[[#This Row],[nome]],MapaIII!C:C,0)</f>
        <v>34</v>
      </c>
      <c r="G32">
        <f>MATCH(Table3[[#This Row],[nome]],MapaIII!C:C,0)</f>
        <v>34</v>
      </c>
      <c r="P32" s="604" t="s">
        <v>755</v>
      </c>
      <c r="Q32" s="606">
        <v>2000000</v>
      </c>
      <c r="R32" s="607" t="s">
        <v>469</v>
      </c>
      <c r="S32" s="608" t="s">
        <v>420</v>
      </c>
    </row>
    <row r="33" spans="1:19" x14ac:dyDescent="0.25">
      <c r="A33" s="612" t="s">
        <v>1150</v>
      </c>
      <c r="B33" s="510">
        <f>INDEX(MapaX!I:I,MATCH(Table3[[#This Row],[nome]],MapaX!D:D,0))</f>
        <v>20000000</v>
      </c>
      <c r="C33" t="s">
        <v>485</v>
      </c>
      <c r="D33" t="s">
        <v>420</v>
      </c>
      <c r="E33">
        <f>MATCH(Table3[[#This Row],[nome]],MapaIII!C:C,0)</f>
        <v>50</v>
      </c>
      <c r="G33">
        <f>MATCH(Table3[[#This Row],[nome]],MapaIII!C:C,0)</f>
        <v>50</v>
      </c>
      <c r="P33" s="605" t="s">
        <v>893</v>
      </c>
      <c r="Q33" s="609">
        <v>1000000</v>
      </c>
      <c r="R33" s="610" t="s">
        <v>469</v>
      </c>
      <c r="S33" s="611" t="s">
        <v>420</v>
      </c>
    </row>
    <row r="34" spans="1:19" x14ac:dyDescent="0.25">
      <c r="A34" t="s">
        <v>747</v>
      </c>
      <c r="B34" s="510">
        <f>INDEX(MapaX!I:I,MATCH(Table3[[#This Row],[nome]],MapaX!D:D,0))</f>
        <v>1500000</v>
      </c>
      <c r="C34" t="s">
        <v>464</v>
      </c>
      <c r="D34" t="str" cm="1">
        <f t="array" ref="D34">INDEX(S:S,MATCH(Table3[[#This Row],[nome]],P:P,0),)</f>
        <v>Direção de Obras</v>
      </c>
      <c r="E34">
        <f>MATCH(Table3[[#This Row],[nome]],MapaIII!C:C,0)</f>
        <v>36</v>
      </c>
      <c r="G34">
        <f>MATCH(Table3[[#This Row],[nome]],MapaIII!C:C,0)</f>
        <v>36</v>
      </c>
      <c r="P34" s="604" t="s">
        <v>763</v>
      </c>
      <c r="Q34" s="606">
        <v>25300000</v>
      </c>
      <c r="R34" s="607" t="s">
        <v>485</v>
      </c>
      <c r="S34" s="608" t="s">
        <v>420</v>
      </c>
    </row>
    <row r="35" spans="1:19" x14ac:dyDescent="0.25">
      <c r="A35" t="s">
        <v>754</v>
      </c>
      <c r="B35" s="510">
        <f>INDEX(MapaX!I:I,MATCH(Table3[[#This Row],[nome]],MapaX!D:D,0))</f>
        <v>3000000</v>
      </c>
      <c r="C35" t="s">
        <v>469</v>
      </c>
      <c r="D35" t="s">
        <v>420</v>
      </c>
      <c r="E35">
        <f>MATCH(Table3[[#This Row],[nome]],MapaIII!C:C,0)</f>
        <v>51</v>
      </c>
      <c r="G35">
        <f>MATCH(Table3[[#This Row],[nome]],MapaIII!C:C,0)</f>
        <v>51</v>
      </c>
      <c r="P35" s="605" t="s">
        <v>1026</v>
      </c>
      <c r="Q35" s="609">
        <v>9000000</v>
      </c>
      <c r="R35" s="610" t="s">
        <v>485</v>
      </c>
      <c r="S35" s="611" t="s">
        <v>420</v>
      </c>
    </row>
    <row r="36" spans="1:19" x14ac:dyDescent="0.25">
      <c r="A36" t="s">
        <v>1141</v>
      </c>
      <c r="B36" s="510">
        <f>INDEX(MapaX!I:I,MATCH(Table3[[#This Row],[nome]],MapaX!D:D,0))</f>
        <v>10000000</v>
      </c>
      <c r="C36" t="s">
        <v>469</v>
      </c>
      <c r="D36" t="s">
        <v>420</v>
      </c>
      <c r="E36">
        <f>MATCH(Table3[[#This Row],[nome]],MapaIII!C:C,0)</f>
        <v>41</v>
      </c>
      <c r="G36">
        <f>MATCH(Table3[[#This Row],[nome]],MapaIII!C:C,0)</f>
        <v>41</v>
      </c>
      <c r="P36" s="604" t="s">
        <v>901</v>
      </c>
      <c r="Q36" s="606">
        <v>1500000</v>
      </c>
      <c r="R36" s="607" t="s">
        <v>485</v>
      </c>
      <c r="S36" s="608" t="s">
        <v>420</v>
      </c>
    </row>
    <row r="37" spans="1:19" x14ac:dyDescent="0.25">
      <c r="A37" t="s">
        <v>1142</v>
      </c>
      <c r="B37" s="510">
        <f>INDEX(MapaX!I:I,MATCH(Table3[[#This Row],[nome]],MapaX!D:D,0))</f>
        <v>30000000</v>
      </c>
      <c r="C37" t="s">
        <v>469</v>
      </c>
      <c r="D37" t="s">
        <v>420</v>
      </c>
      <c r="E37">
        <f>MATCH(Table3[[#This Row],[nome]],MapaIII!C:C,0)</f>
        <v>42</v>
      </c>
      <c r="G37">
        <f>MATCH(Table3[[#This Row],[nome]],MapaIII!C:C,0)</f>
        <v>42</v>
      </c>
      <c r="P37" s="604" t="s">
        <v>1134</v>
      </c>
      <c r="Q37" s="609">
        <v>1000000</v>
      </c>
      <c r="R37" s="610" t="s">
        <v>449</v>
      </c>
      <c r="S37" s="611" t="s">
        <v>420</v>
      </c>
    </row>
    <row r="38" spans="1:19" x14ac:dyDescent="0.25">
      <c r="A38" t="s">
        <v>750</v>
      </c>
      <c r="B38" s="510">
        <f>INDEX(MapaX!I:I,MATCH(Table3[[#This Row],[nome]],MapaX!D:D,0))</f>
        <v>2000000</v>
      </c>
      <c r="C38" t="s">
        <v>469</v>
      </c>
      <c r="D38" t="str" cm="1">
        <f t="array" ref="D38">INDEX(S:S,MATCH(Table3[[#This Row],[nome]],P:P,0),)</f>
        <v>Direção de Obras</v>
      </c>
      <c r="E38">
        <f>MATCH(Table3[[#This Row],[nome]],MapaIII!C:C,0)</f>
        <v>49</v>
      </c>
      <c r="G38">
        <f>MATCH(Table3[[#This Row],[nome]],MapaIII!C:C,0)</f>
        <v>49</v>
      </c>
      <c r="P38" s="604" t="s">
        <v>902</v>
      </c>
      <c r="Q38" s="606">
        <v>15000000</v>
      </c>
      <c r="R38" s="607" t="s">
        <v>449</v>
      </c>
      <c r="S38" s="608" t="s">
        <v>420</v>
      </c>
    </row>
    <row r="39" spans="1:19" x14ac:dyDescent="0.25">
      <c r="A39" t="s">
        <v>1143</v>
      </c>
      <c r="B39" s="510">
        <f>INDEX(MapaX!I:I,MATCH(Table3[[#This Row],[nome]],MapaX!D:D,0))</f>
        <v>5000000</v>
      </c>
      <c r="C39" t="s">
        <v>469</v>
      </c>
      <c r="D39" t="s">
        <v>420</v>
      </c>
      <c r="E39">
        <f>MATCH(Table3[[#This Row],[nome]],MapaIII!C:C,0)</f>
        <v>43</v>
      </c>
      <c r="G39">
        <f>MATCH(Table3[[#This Row],[nome]],MapaIII!C:C,0)</f>
        <v>43</v>
      </c>
      <c r="P39" s="605" t="s">
        <v>905</v>
      </c>
      <c r="Q39" s="609">
        <v>1000000</v>
      </c>
      <c r="R39" s="610" t="s">
        <v>485</v>
      </c>
      <c r="S39" s="611" t="s">
        <v>420</v>
      </c>
    </row>
    <row r="40" spans="1:19" x14ac:dyDescent="0.25">
      <c r="A40" t="s">
        <v>1144</v>
      </c>
      <c r="B40" s="510">
        <f>INDEX(MapaX!I:I,MATCH(Table3[[#This Row],[nome]],MapaX!D:D,0))</f>
        <v>5000000</v>
      </c>
      <c r="C40" t="s">
        <v>469</v>
      </c>
      <c r="D40" t="s">
        <v>420</v>
      </c>
      <c r="E40">
        <f>MATCH(Table3[[#This Row],[nome]],MapaIII!C:C,0)</f>
        <v>47</v>
      </c>
      <c r="G40">
        <f>MATCH(Table3[[#This Row],[nome]],MapaIII!C:C,0)</f>
        <v>47</v>
      </c>
      <c r="P40" s="604" t="s">
        <v>747</v>
      </c>
      <c r="Q40" s="606">
        <v>1500000</v>
      </c>
      <c r="R40" s="607" t="s">
        <v>464</v>
      </c>
      <c r="S40" s="608" t="s">
        <v>420</v>
      </c>
    </row>
    <row r="41" spans="1:19" x14ac:dyDescent="0.25">
      <c r="A41" t="s">
        <v>917</v>
      </c>
      <c r="B41" s="510">
        <f>INDEX(MapaX!I:I,MATCH(Table3[[#This Row],[nome]],MapaX!D:D,0))</f>
        <v>65000000</v>
      </c>
      <c r="C41" t="s">
        <v>469</v>
      </c>
      <c r="D41" t="str" cm="1">
        <f t="array" ref="D41">INDEX(S:S,MATCH(Table3[[#This Row],[nome]],P:P,0),)</f>
        <v>Direção de Obras</v>
      </c>
      <c r="E41">
        <f>MATCH(Table3[[#This Row],[nome]],MapaIII!C:C,0)</f>
        <v>45</v>
      </c>
      <c r="G41">
        <f>MATCH(Table3[[#This Row],[nome]],MapaIII!C:C,0)</f>
        <v>45</v>
      </c>
      <c r="P41" s="604" t="s">
        <v>909</v>
      </c>
      <c r="Q41" s="606">
        <v>5000000</v>
      </c>
      <c r="R41" s="607" t="s">
        <v>469</v>
      </c>
      <c r="S41" s="608" t="s">
        <v>420</v>
      </c>
    </row>
    <row r="42" spans="1:19" x14ac:dyDescent="0.25">
      <c r="A42" t="s">
        <v>1149</v>
      </c>
      <c r="B42" s="510">
        <f>INDEX(MapaX!I:I,MATCH(Table3[[#This Row],[nome]],MapaX!D:D,0))</f>
        <v>4000000</v>
      </c>
      <c r="C42" t="s">
        <v>469</v>
      </c>
      <c r="D42" t="s">
        <v>420</v>
      </c>
      <c r="E42">
        <f>MATCH(Table3[[#This Row],[nome]],MapaIII!C:C,0)</f>
        <v>44</v>
      </c>
      <c r="G42">
        <f>MATCH(Table3[[#This Row],[nome]],MapaIII!C:C,0)</f>
        <v>44</v>
      </c>
      <c r="P42" s="605" t="s">
        <v>910</v>
      </c>
      <c r="Q42" s="609">
        <v>17000000</v>
      </c>
      <c r="R42" s="610" t="s">
        <v>469</v>
      </c>
      <c r="S42" s="611" t="s">
        <v>420</v>
      </c>
    </row>
    <row r="43" spans="1:19" x14ac:dyDescent="0.25">
      <c r="A43" t="s">
        <v>1127</v>
      </c>
      <c r="B43" s="510">
        <f>INDEX(MapaX!I:I,MATCH(Table3[[#This Row],[nome]],MapaX!D:D,0))</f>
        <v>4000000</v>
      </c>
      <c r="C43" t="s">
        <v>469</v>
      </c>
      <c r="D43" t="s">
        <v>420</v>
      </c>
      <c r="E43">
        <f>MATCH(Table3[[#This Row],[nome]],MapaIII!C:C,0)</f>
        <v>46</v>
      </c>
      <c r="G43">
        <f>MATCH(Table3[[#This Row],[nome]],MapaIII!C:C,0)</f>
        <v>46</v>
      </c>
      <c r="P43" s="604" t="s">
        <v>750</v>
      </c>
      <c r="Q43" s="606">
        <v>4000000</v>
      </c>
      <c r="R43" s="607" t="s">
        <v>469</v>
      </c>
      <c r="S43" s="608" t="s">
        <v>420</v>
      </c>
    </row>
    <row r="44" spans="1:19" x14ac:dyDescent="0.25">
      <c r="A44" t="s">
        <v>784</v>
      </c>
      <c r="B44" s="510">
        <f>INDEX(MapaX!I:I,MATCH(Table3[[#This Row],[nome]],MapaX!D:D,0))</f>
        <v>17000000</v>
      </c>
      <c r="C44" t="s">
        <v>469</v>
      </c>
      <c r="D44" t="str" cm="1">
        <f t="array" ref="D44">INDEX(S:S,MATCH(Table3[[#This Row],[nome]],P:P,0),)</f>
        <v>Direcao da Familia, Inclusão, Genero e Saúde</v>
      </c>
      <c r="E44">
        <f>MATCH(Table3[[#This Row],[nome]],MapaIII!C:C,0)</f>
        <v>70</v>
      </c>
      <c r="G44">
        <f>MATCH(Table3[[#This Row],[nome]],MapaIII!C:C,0)</f>
        <v>70</v>
      </c>
      <c r="P44" s="605" t="s">
        <v>1022</v>
      </c>
      <c r="Q44" s="609">
        <v>8000000</v>
      </c>
      <c r="R44" s="610" t="s">
        <v>469</v>
      </c>
      <c r="S44" s="611" t="s">
        <v>420</v>
      </c>
    </row>
    <row r="45" spans="1:19" x14ac:dyDescent="0.25">
      <c r="A45" t="s">
        <v>925</v>
      </c>
      <c r="B45" s="510">
        <f>INDEX(MapaX!I:I,MATCH(Table3[[#This Row],[nome]],MapaX!D:D,0))</f>
        <v>800000</v>
      </c>
      <c r="C45" t="s">
        <v>449</v>
      </c>
      <c r="D45" t="str" cm="1">
        <f t="array" ref="D45">INDEX(S:S,MATCH(Table3[[#This Row],[nome]],P:P,0),)</f>
        <v>Direcao da Familia, Inclusão, Genero e Saúde</v>
      </c>
      <c r="E45">
        <f>MATCH(Table3[[#This Row],[nome]],MapaIII!C:C,0)</f>
        <v>68</v>
      </c>
      <c r="G45">
        <f>MATCH(Table3[[#This Row],[nome]],MapaIII!C:C,0)</f>
        <v>68</v>
      </c>
      <c r="P45" s="604" t="s">
        <v>913</v>
      </c>
      <c r="Q45" s="606">
        <v>12000000</v>
      </c>
      <c r="R45" s="607" t="s">
        <v>469</v>
      </c>
      <c r="S45" s="608" t="s">
        <v>420</v>
      </c>
    </row>
    <row r="46" spans="1:19" x14ac:dyDescent="0.25">
      <c r="P46" s="605" t="s">
        <v>914</v>
      </c>
      <c r="Q46" s="609">
        <v>3500000</v>
      </c>
      <c r="R46" s="610" t="s">
        <v>469</v>
      </c>
      <c r="S46" s="611" t="s">
        <v>420</v>
      </c>
    </row>
    <row r="47" spans="1:19" x14ac:dyDescent="0.25">
      <c r="P47" s="604" t="s">
        <v>915</v>
      </c>
      <c r="Q47" s="606">
        <v>20000000</v>
      </c>
      <c r="R47" s="607" t="s">
        <v>469</v>
      </c>
      <c r="S47" s="608" t="s">
        <v>420</v>
      </c>
    </row>
    <row r="48" spans="1:19" x14ac:dyDescent="0.25">
      <c r="P48" s="605" t="s">
        <v>1023</v>
      </c>
      <c r="Q48" s="609">
        <v>1500000</v>
      </c>
      <c r="R48" s="610" t="s">
        <v>469</v>
      </c>
      <c r="S48" s="611" t="s">
        <v>420</v>
      </c>
    </row>
    <row r="49" spans="16:19" x14ac:dyDescent="0.25">
      <c r="P49" s="604" t="s">
        <v>917</v>
      </c>
      <c r="Q49" s="606">
        <v>32000000</v>
      </c>
      <c r="R49" s="607" t="s">
        <v>469</v>
      </c>
      <c r="S49" s="608" t="s">
        <v>420</v>
      </c>
    </row>
    <row r="50" spans="16:19" x14ac:dyDescent="0.25">
      <c r="P50" s="605" t="s">
        <v>918</v>
      </c>
      <c r="Q50" s="609">
        <v>14500000</v>
      </c>
      <c r="R50" s="610" t="s">
        <v>469</v>
      </c>
      <c r="S50" s="611" t="s">
        <v>420</v>
      </c>
    </row>
    <row r="51" spans="16:19" x14ac:dyDescent="0.25">
      <c r="P51" s="604" t="s">
        <v>919</v>
      </c>
      <c r="Q51" s="606">
        <v>2000000</v>
      </c>
      <c r="R51" s="607" t="s">
        <v>469</v>
      </c>
      <c r="S51" s="608" t="s">
        <v>420</v>
      </c>
    </row>
    <row r="52" spans="16:19" x14ac:dyDescent="0.25">
      <c r="P52" s="605" t="s">
        <v>752</v>
      </c>
      <c r="Q52" s="609">
        <v>2500000</v>
      </c>
      <c r="R52" s="610" t="s">
        <v>469</v>
      </c>
      <c r="S52" s="611" t="s">
        <v>420</v>
      </c>
    </row>
    <row r="53" spans="16:19" x14ac:dyDescent="0.25">
      <c r="P53" s="604" t="s">
        <v>1024</v>
      </c>
      <c r="Q53" s="606">
        <v>2500000</v>
      </c>
      <c r="R53" s="607" t="s">
        <v>469</v>
      </c>
      <c r="S53" s="608" t="s">
        <v>420</v>
      </c>
    </row>
    <row r="54" spans="16:19" x14ac:dyDescent="0.25">
      <c r="P54" s="605" t="s">
        <v>1025</v>
      </c>
      <c r="Q54" s="609">
        <v>1500000</v>
      </c>
      <c r="R54" s="610" t="s">
        <v>469</v>
      </c>
      <c r="S54" s="611" t="s">
        <v>409</v>
      </c>
    </row>
    <row r="55" spans="16:19" x14ac:dyDescent="0.25">
      <c r="P55" s="604" t="s">
        <v>784</v>
      </c>
      <c r="Q55" s="606">
        <v>13000000</v>
      </c>
      <c r="R55" s="607" t="s">
        <v>469</v>
      </c>
      <c r="S55" s="608" t="s">
        <v>409</v>
      </c>
    </row>
    <row r="56" spans="16:19" x14ac:dyDescent="0.25">
      <c r="P56" s="605" t="s">
        <v>925</v>
      </c>
      <c r="Q56" s="609">
        <v>1200000</v>
      </c>
      <c r="R56" s="610" t="s">
        <v>449</v>
      </c>
      <c r="S56" s="611" t="s">
        <v>409</v>
      </c>
    </row>
  </sheetData>
  <autoFilter ref="G2:G45"/>
  <phoneticPr fontId="86" type="noConversion"/>
  <pageMargins left="0.7" right="0.7" top="0.75" bottom="0.75" header="0.3" footer="0.3"/>
  <pageSetup orientation="portrait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2:O103"/>
  <sheetViews>
    <sheetView tabSelected="1" topLeftCell="A31" workbookViewId="0">
      <selection activeCell="G75" sqref="G75"/>
    </sheetView>
  </sheetViews>
  <sheetFormatPr defaultRowHeight="12" x14ac:dyDescent="0.25"/>
  <cols>
    <col min="1" max="1" width="8.28515625" style="385" customWidth="1"/>
    <col min="2" max="2" width="23.85546875" style="385" customWidth="1"/>
    <col min="3" max="3" width="14.7109375" style="385" customWidth="1"/>
    <col min="4" max="4" width="9.28515625" style="385" customWidth="1"/>
    <col min="5" max="5" width="14.5703125" style="385" customWidth="1"/>
    <col min="6" max="6" width="16.28515625" style="385" customWidth="1"/>
    <col min="7" max="7" width="15.7109375" style="385" customWidth="1"/>
    <col min="8" max="8" width="6.7109375" style="466" customWidth="1"/>
    <col min="9" max="9" width="5.5703125" style="466" customWidth="1"/>
    <col min="10" max="10" width="6.42578125" style="383" customWidth="1"/>
    <col min="11" max="11" width="18" style="385" hidden="1" customWidth="1"/>
    <col min="12" max="12" width="14.28515625" style="385" hidden="1" customWidth="1"/>
    <col min="13" max="13" width="13.42578125" style="385" hidden="1" customWidth="1"/>
    <col min="14" max="14" width="15.42578125" style="385" customWidth="1"/>
    <col min="15" max="15" width="14.28515625" style="385" bestFit="1" customWidth="1"/>
    <col min="16" max="16384" width="9.140625" style="385"/>
  </cols>
  <sheetData>
    <row r="2" spans="1:15" ht="15.75" x14ac:dyDescent="0.25">
      <c r="A2" s="716"/>
      <c r="B2" s="716"/>
      <c r="C2" s="716"/>
      <c r="D2" s="716"/>
      <c r="E2" s="716"/>
      <c r="F2" s="716"/>
      <c r="G2" s="716"/>
      <c r="H2" s="716"/>
      <c r="I2" s="716"/>
      <c r="K2" s="384"/>
    </row>
    <row r="3" spans="1:15" ht="15.75" x14ac:dyDescent="0.25">
      <c r="A3" s="386"/>
      <c r="B3" s="386"/>
      <c r="C3" s="386"/>
      <c r="D3" s="386"/>
      <c r="E3" s="386"/>
      <c r="F3" s="386"/>
      <c r="G3" s="386"/>
      <c r="H3" s="386"/>
      <c r="I3" s="386"/>
      <c r="K3" s="384"/>
      <c r="N3" s="387"/>
    </row>
    <row r="4" spans="1:15" ht="15.75" x14ac:dyDescent="0.25">
      <c r="A4" s="386"/>
      <c r="B4" s="386"/>
      <c r="C4" s="386"/>
      <c r="D4" s="386"/>
      <c r="E4" s="386"/>
      <c r="F4" s="386"/>
      <c r="G4" s="386"/>
      <c r="H4" s="386"/>
      <c r="I4" s="386"/>
      <c r="J4" s="388"/>
      <c r="L4" s="384"/>
    </row>
    <row r="5" spans="1:15" ht="15.75" x14ac:dyDescent="0.25">
      <c r="A5" s="716" t="s">
        <v>1122</v>
      </c>
      <c r="B5" s="716"/>
      <c r="C5" s="716"/>
      <c r="D5" s="716"/>
      <c r="E5" s="716"/>
      <c r="F5" s="716"/>
      <c r="G5" s="716"/>
      <c r="H5" s="716"/>
      <c r="I5" s="716"/>
    </row>
    <row r="6" spans="1:15" ht="15.75" x14ac:dyDescent="0.25">
      <c r="A6" s="716" t="s">
        <v>786</v>
      </c>
      <c r="B6" s="716"/>
      <c r="C6" s="716"/>
      <c r="D6" s="716"/>
      <c r="E6" s="716"/>
      <c r="F6" s="716"/>
      <c r="G6" s="716"/>
      <c r="H6" s="716"/>
      <c r="I6" s="716"/>
      <c r="K6" s="384"/>
    </row>
    <row r="7" spans="1:15" ht="12.75" x14ac:dyDescent="0.25">
      <c r="A7" s="717" t="s">
        <v>926</v>
      </c>
      <c r="B7" s="717"/>
      <c r="C7" s="717"/>
      <c r="D7" s="717"/>
      <c r="E7" s="717"/>
      <c r="F7" s="717"/>
      <c r="G7" s="717"/>
      <c r="H7" s="717"/>
      <c r="I7" s="717"/>
    </row>
    <row r="8" spans="1:15" x14ac:dyDescent="0.25">
      <c r="A8" s="383"/>
      <c r="B8" s="383"/>
      <c r="C8" s="383"/>
      <c r="D8" s="383"/>
      <c r="E8" s="383"/>
      <c r="F8" s="383"/>
      <c r="G8" s="383"/>
      <c r="H8" s="389"/>
      <c r="I8" s="389"/>
    </row>
    <row r="9" spans="1:15" s="395" customFormat="1" ht="24" x14ac:dyDescent="0.25">
      <c r="A9" s="390" t="s">
        <v>788</v>
      </c>
      <c r="B9" s="390" t="s">
        <v>395</v>
      </c>
      <c r="C9" s="391" t="s">
        <v>927</v>
      </c>
      <c r="D9" s="391" t="s">
        <v>928</v>
      </c>
      <c r="E9" s="390" t="s">
        <v>929</v>
      </c>
      <c r="F9" s="390" t="s">
        <v>699</v>
      </c>
      <c r="G9" s="390" t="s">
        <v>428</v>
      </c>
      <c r="H9" s="392" t="s">
        <v>930</v>
      </c>
      <c r="I9" s="391" t="s">
        <v>931</v>
      </c>
      <c r="J9" s="393"/>
      <c r="K9" s="712" t="s">
        <v>932</v>
      </c>
      <c r="L9" s="713"/>
      <c r="M9" s="394"/>
      <c r="N9" s="394"/>
    </row>
    <row r="10" spans="1:15" ht="15" customHeight="1" x14ac:dyDescent="0.25">
      <c r="A10" s="714" t="s">
        <v>933</v>
      </c>
      <c r="B10" s="715"/>
      <c r="C10" s="396">
        <f>SUM(C11:C16)</f>
        <v>277777162</v>
      </c>
      <c r="D10" s="396">
        <f>SUM(D11:D16)</f>
        <v>0</v>
      </c>
      <c r="E10" s="396">
        <f>SUM(E11:E16)</f>
        <v>277777162</v>
      </c>
      <c r="F10" s="396">
        <f>SUM(F11:F16)</f>
        <v>247750000</v>
      </c>
      <c r="G10" s="396">
        <f t="shared" ref="G10:G16" si="0">E10+F10</f>
        <v>525527162</v>
      </c>
      <c r="H10" s="397">
        <f>E10/E10</f>
        <v>1</v>
      </c>
      <c r="I10" s="397">
        <f>F10/F10</f>
        <v>1</v>
      </c>
      <c r="J10" s="385"/>
      <c r="K10" s="398">
        <f>+C10-C17</f>
        <v>82288290</v>
      </c>
      <c r="L10" s="399" t="str">
        <f>+IF(K10&lt;0,"déficit","superavit")</f>
        <v>superavit</v>
      </c>
      <c r="O10" s="384"/>
    </row>
    <row r="11" spans="1:15" s="408" customFormat="1" ht="15" customHeight="1" x14ac:dyDescent="0.25">
      <c r="A11" s="400" t="s">
        <v>934</v>
      </c>
      <c r="B11" s="401" t="s">
        <v>935</v>
      </c>
      <c r="C11" s="402"/>
      <c r="D11" s="403"/>
      <c r="E11" s="404">
        <f t="shared" ref="E11:E16" si="1">C11+D11</f>
        <v>0</v>
      </c>
      <c r="F11" s="403"/>
      <c r="G11" s="404">
        <f t="shared" si="0"/>
        <v>0</v>
      </c>
      <c r="H11" s="405">
        <f t="shared" ref="H11:I16" si="2">E11/$E$10</f>
        <v>0</v>
      </c>
      <c r="I11" s="405">
        <f t="shared" si="2"/>
        <v>0</v>
      </c>
      <c r="J11" s="384"/>
      <c r="K11" s="406">
        <v>0</v>
      </c>
      <c r="L11" s="407" t="s">
        <v>936</v>
      </c>
      <c r="N11" s="385"/>
    </row>
    <row r="12" spans="1:15" s="408" customFormat="1" ht="15" customHeight="1" x14ac:dyDescent="0.25">
      <c r="A12" s="409" t="s">
        <v>792</v>
      </c>
      <c r="B12" s="410" t="s">
        <v>13</v>
      </c>
      <c r="C12" s="410">
        <f>+MapaI!D15</f>
        <v>29375000</v>
      </c>
      <c r="D12" s="410">
        <v>0</v>
      </c>
      <c r="E12" s="411">
        <f t="shared" si="1"/>
        <v>29375000</v>
      </c>
      <c r="F12" s="411">
        <v>0</v>
      </c>
      <c r="G12" s="411">
        <f t="shared" si="0"/>
        <v>29375000</v>
      </c>
      <c r="H12" s="407">
        <f t="shared" si="2"/>
        <v>0.10575023442711967</v>
      </c>
      <c r="I12" s="407">
        <f>G12/$G$10</f>
        <v>5.5896254511769654E-2</v>
      </c>
      <c r="J12" s="412"/>
      <c r="K12" s="384"/>
      <c r="L12" s="385"/>
      <c r="N12" s="385"/>
      <c r="O12" s="384"/>
    </row>
    <row r="13" spans="1:15" s="408" customFormat="1" ht="15" customHeight="1" x14ac:dyDescent="0.25">
      <c r="A13" s="409" t="s">
        <v>793</v>
      </c>
      <c r="B13" s="410" t="s">
        <v>819</v>
      </c>
      <c r="C13" s="410">
        <v>0</v>
      </c>
      <c r="D13" s="410">
        <v>0</v>
      </c>
      <c r="E13" s="411">
        <f t="shared" si="1"/>
        <v>0</v>
      </c>
      <c r="F13" s="413"/>
      <c r="G13" s="411">
        <f t="shared" si="0"/>
        <v>0</v>
      </c>
      <c r="H13" s="407">
        <f t="shared" si="2"/>
        <v>0</v>
      </c>
      <c r="I13" s="407">
        <f>G13/$G$10</f>
        <v>0</v>
      </c>
      <c r="J13" s="384"/>
      <c r="K13" s="712" t="s">
        <v>937</v>
      </c>
      <c r="L13" s="713"/>
      <c r="M13" s="385"/>
      <c r="N13" s="385"/>
      <c r="O13" s="385"/>
    </row>
    <row r="14" spans="1:15" s="408" customFormat="1" ht="15" customHeight="1" x14ac:dyDescent="0.25">
      <c r="A14" s="409" t="s">
        <v>794</v>
      </c>
      <c r="B14" s="410" t="s">
        <v>574</v>
      </c>
      <c r="C14" s="410">
        <f>+MapaI!D35</f>
        <v>209903387</v>
      </c>
      <c r="D14" s="410">
        <v>0</v>
      </c>
      <c r="E14" s="411">
        <f t="shared" si="1"/>
        <v>209903387</v>
      </c>
      <c r="F14" s="411">
        <f>+MapaI!E35</f>
        <v>180750000</v>
      </c>
      <c r="G14" s="411">
        <f t="shared" si="0"/>
        <v>390653387</v>
      </c>
      <c r="H14" s="407">
        <f t="shared" si="2"/>
        <v>0.75565386833349535</v>
      </c>
      <c r="I14" s="407">
        <f>G14/$G$10</f>
        <v>0.74335527304295645</v>
      </c>
      <c r="J14" s="414"/>
      <c r="K14" s="413" t="s">
        <v>938</v>
      </c>
      <c r="L14" s="411" t="e">
        <f>+K10-L21</f>
        <v>#REF!</v>
      </c>
      <c r="M14" s="385"/>
      <c r="N14" s="385"/>
      <c r="O14" s="385"/>
    </row>
    <row r="15" spans="1:15" s="408" customFormat="1" ht="15" customHeight="1" x14ac:dyDescent="0.25">
      <c r="A15" s="409" t="s">
        <v>939</v>
      </c>
      <c r="B15" s="410" t="s">
        <v>820</v>
      </c>
      <c r="C15" s="410">
        <f>+MapaI!D65</f>
        <v>38498775</v>
      </c>
      <c r="D15" s="410">
        <v>0</v>
      </c>
      <c r="E15" s="411">
        <f t="shared" si="1"/>
        <v>38498775</v>
      </c>
      <c r="F15" s="411">
        <v>0</v>
      </c>
      <c r="G15" s="411">
        <f t="shared" si="0"/>
        <v>38498775</v>
      </c>
      <c r="H15" s="407">
        <f t="shared" si="2"/>
        <v>0.13859589723938501</v>
      </c>
      <c r="I15" s="407">
        <f>G15/$G$10</f>
        <v>7.3257440878003566E-2</v>
      </c>
      <c r="J15" s="385"/>
      <c r="K15" s="413" t="s">
        <v>940</v>
      </c>
      <c r="L15" s="410">
        <f>+F16</f>
        <v>67000000</v>
      </c>
      <c r="M15" s="385"/>
      <c r="N15" s="385"/>
      <c r="O15" s="385"/>
    </row>
    <row r="16" spans="1:15" ht="15" customHeight="1" x14ac:dyDescent="0.25">
      <c r="A16" s="409" t="s">
        <v>664</v>
      </c>
      <c r="B16" s="410" t="s">
        <v>665</v>
      </c>
      <c r="C16" s="410">
        <v>0</v>
      </c>
      <c r="D16" s="410">
        <v>0</v>
      </c>
      <c r="E16" s="410">
        <f t="shared" si="1"/>
        <v>0</v>
      </c>
      <c r="F16" s="410">
        <f>+MapaI!E130</f>
        <v>67000000</v>
      </c>
      <c r="G16" s="410">
        <f t="shared" si="0"/>
        <v>67000000</v>
      </c>
      <c r="H16" s="407">
        <f t="shared" si="2"/>
        <v>0</v>
      </c>
      <c r="I16" s="407">
        <f>G16/$G$10</f>
        <v>0.12749103156727035</v>
      </c>
      <c r="J16" s="415"/>
      <c r="K16" s="416" t="s">
        <v>428</v>
      </c>
      <c r="L16" s="416" t="e">
        <f>SUM(L14:L15)</f>
        <v>#REF!</v>
      </c>
    </row>
    <row r="17" spans="1:15" ht="15" customHeight="1" x14ac:dyDescent="0.25">
      <c r="A17" s="714" t="s">
        <v>941</v>
      </c>
      <c r="B17" s="715"/>
      <c r="C17" s="396">
        <f>SUM(C18:C26)</f>
        <v>195488872</v>
      </c>
      <c r="D17" s="396">
        <f>SUM(D18:D26)</f>
        <v>0</v>
      </c>
      <c r="E17" s="396">
        <f>SUM(E18:E26)</f>
        <v>195488872</v>
      </c>
      <c r="F17" s="396">
        <f>SUM(F18:F26)</f>
        <v>274920000</v>
      </c>
      <c r="G17" s="396">
        <f>E17+F17</f>
        <v>470408872</v>
      </c>
      <c r="H17" s="397">
        <f>E17/E17</f>
        <v>1</v>
      </c>
      <c r="I17" s="397">
        <f>G17/$G$17</f>
        <v>1</v>
      </c>
      <c r="J17" s="385"/>
      <c r="M17" s="384"/>
    </row>
    <row r="18" spans="1:15" s="408" customFormat="1" ht="15" customHeight="1" x14ac:dyDescent="0.25">
      <c r="A18" s="417" t="s">
        <v>942</v>
      </c>
      <c r="B18" s="401" t="s">
        <v>943</v>
      </c>
      <c r="C18" s="403"/>
      <c r="D18" s="403"/>
      <c r="E18" s="403"/>
      <c r="F18" s="403"/>
      <c r="G18" s="403"/>
      <c r="H18" s="405"/>
      <c r="I18" s="405"/>
      <c r="J18" s="385"/>
      <c r="M18" s="385"/>
      <c r="N18" s="385"/>
      <c r="O18" s="385"/>
    </row>
    <row r="19" spans="1:15" s="408" customFormat="1" ht="15" customHeight="1" x14ac:dyDescent="0.25">
      <c r="A19" s="409" t="s">
        <v>799</v>
      </c>
      <c r="B19" s="411" t="s">
        <v>944</v>
      </c>
      <c r="C19" s="411">
        <f>+MapaIII!D12</f>
        <v>125643520</v>
      </c>
      <c r="D19" s="411"/>
      <c r="E19" s="411">
        <f t="shared" ref="E19:E26" si="3">C19+D19</f>
        <v>125643520</v>
      </c>
      <c r="F19" s="418">
        <f>+GETPIVOTDATA("Valor",'inv rubricas'!$L$23,"Column2","02.01")</f>
        <v>150000</v>
      </c>
      <c r="G19" s="410">
        <f t="shared" ref="G19:G26" si="4">E19+F19</f>
        <v>125793520</v>
      </c>
      <c r="H19" s="407">
        <f>E19/$E$17</f>
        <v>0.64271443542832452</v>
      </c>
      <c r="I19" s="407">
        <f t="shared" ref="I19:I26" si="5">G19/$G$17</f>
        <v>0.26741315372130142</v>
      </c>
      <c r="J19" s="385"/>
      <c r="M19" s="385"/>
      <c r="N19" s="385"/>
      <c r="O19" s="385"/>
    </row>
    <row r="20" spans="1:15" s="408" customFormat="1" ht="15" customHeight="1" x14ac:dyDescent="0.25">
      <c r="A20" s="409" t="s">
        <v>800</v>
      </c>
      <c r="B20" s="411" t="s">
        <v>491</v>
      </c>
      <c r="C20" s="411">
        <f>+MapaIII!D13</f>
        <v>36319720</v>
      </c>
      <c r="D20" s="411"/>
      <c r="E20" s="411">
        <f t="shared" si="3"/>
        <v>36319720</v>
      </c>
      <c r="F20" s="410">
        <f>+GETPIVOTDATA("Valor",'inv rubricas'!$L$23,"Column2","02.02")</f>
        <v>6100000</v>
      </c>
      <c r="G20" s="410">
        <f t="shared" si="4"/>
        <v>42419720</v>
      </c>
      <c r="H20" s="407">
        <f t="shared" ref="H20:H26" si="6">E20/$E$17</f>
        <v>0.18578919417980988</v>
      </c>
      <c r="I20" s="407">
        <f t="shared" si="5"/>
        <v>9.0176275416846308E-2</v>
      </c>
      <c r="J20" s="383"/>
      <c r="K20" s="419" t="s">
        <v>945</v>
      </c>
      <c r="L20" s="420">
        <f>+F29</f>
        <v>94170000</v>
      </c>
      <c r="M20" s="385"/>
      <c r="N20" s="385"/>
      <c r="O20" s="385"/>
    </row>
    <row r="21" spans="1:15" s="408" customFormat="1" hidden="1" x14ac:dyDescent="0.25">
      <c r="A21" s="409" t="s">
        <v>946</v>
      </c>
      <c r="B21" s="411" t="s">
        <v>946</v>
      </c>
      <c r="C21" s="413"/>
      <c r="D21" s="413"/>
      <c r="E21" s="411">
        <f t="shared" si="3"/>
        <v>0</v>
      </c>
      <c r="F21" s="410"/>
      <c r="G21" s="410">
        <f t="shared" si="4"/>
        <v>0</v>
      </c>
      <c r="H21" s="407">
        <f t="shared" si="6"/>
        <v>0</v>
      </c>
      <c r="I21" s="407">
        <f t="shared" si="5"/>
        <v>0</v>
      </c>
      <c r="J21" s="383"/>
      <c r="K21" s="385" t="s">
        <v>947</v>
      </c>
      <c r="L21" s="387" t="e">
        <v>#REF!</v>
      </c>
      <c r="M21" s="385"/>
      <c r="N21" s="385"/>
      <c r="O21" s="385"/>
    </row>
    <row r="22" spans="1:15" s="408" customFormat="1" ht="15" customHeight="1" x14ac:dyDescent="0.25">
      <c r="A22" s="409" t="s">
        <v>801</v>
      </c>
      <c r="B22" s="411" t="s">
        <v>554</v>
      </c>
      <c r="C22" s="411">
        <f>+MapaIII!D14</f>
        <v>13525632</v>
      </c>
      <c r="D22" s="411"/>
      <c r="E22" s="411">
        <f t="shared" si="3"/>
        <v>13525632</v>
      </c>
      <c r="F22" s="410"/>
      <c r="G22" s="410">
        <f t="shared" si="4"/>
        <v>13525632</v>
      </c>
      <c r="H22" s="407">
        <f t="shared" si="6"/>
        <v>6.9188756687899866E-2</v>
      </c>
      <c r="I22" s="407">
        <f t="shared" si="5"/>
        <v>2.8752927091902296E-2</v>
      </c>
      <c r="J22" s="383"/>
      <c r="K22" s="385"/>
      <c r="L22" s="421"/>
      <c r="M22" s="384">
        <f>+G10-G17</f>
        <v>55118290</v>
      </c>
      <c r="N22" s="385"/>
      <c r="O22" s="385"/>
    </row>
    <row r="23" spans="1:15" s="408" customFormat="1" ht="15" customHeight="1" x14ac:dyDescent="0.25">
      <c r="A23" s="409" t="s">
        <v>802</v>
      </c>
      <c r="B23" s="411" t="s">
        <v>574</v>
      </c>
      <c r="C23" s="411">
        <f>+MapaIII!D15</f>
        <v>500000</v>
      </c>
      <c r="D23" s="411"/>
      <c r="E23" s="411">
        <f t="shared" si="3"/>
        <v>500000</v>
      </c>
      <c r="F23" s="410"/>
      <c r="G23" s="410">
        <f t="shared" si="4"/>
        <v>500000</v>
      </c>
      <c r="H23" s="407">
        <f t="shared" si="6"/>
        <v>2.5576903425991431E-3</v>
      </c>
      <c r="I23" s="407">
        <f t="shared" si="5"/>
        <v>1.0629051230989538E-3</v>
      </c>
      <c r="J23" s="383"/>
      <c r="K23" s="422"/>
      <c r="L23" s="384"/>
      <c r="M23" s="384"/>
      <c r="N23" s="385"/>
      <c r="O23" s="385"/>
    </row>
    <row r="24" spans="1:15" s="408" customFormat="1" ht="15" customHeight="1" x14ac:dyDescent="0.25">
      <c r="A24" s="409" t="s">
        <v>803</v>
      </c>
      <c r="B24" s="411" t="s">
        <v>592</v>
      </c>
      <c r="C24" s="411">
        <f>+MapaIII!D16</f>
        <v>15000000</v>
      </c>
      <c r="D24" s="410"/>
      <c r="E24" s="411">
        <f t="shared" si="3"/>
        <v>15000000</v>
      </c>
      <c r="F24" s="410">
        <f>+GETPIVOTDATA("Valor",'inv rubricas'!$L$23,"Column2","02.07")</f>
        <v>2700000</v>
      </c>
      <c r="G24" s="410">
        <f t="shared" si="4"/>
        <v>17700000</v>
      </c>
      <c r="H24" s="407">
        <f t="shared" si="6"/>
        <v>7.673071027797429E-2</v>
      </c>
      <c r="I24" s="407">
        <f t="shared" si="5"/>
        <v>3.7626841357702966E-2</v>
      </c>
      <c r="J24" s="383"/>
      <c r="K24" s="384"/>
      <c r="L24" s="385"/>
      <c r="M24" s="385"/>
      <c r="N24" s="385"/>
      <c r="O24" s="385"/>
    </row>
    <row r="25" spans="1:15" s="408" customFormat="1" ht="15" customHeight="1" x14ac:dyDescent="0.25">
      <c r="A25" s="409" t="s">
        <v>804</v>
      </c>
      <c r="B25" s="411" t="s">
        <v>607</v>
      </c>
      <c r="C25" s="410">
        <f>+MapaIII!D17</f>
        <v>4500000</v>
      </c>
      <c r="D25" s="410"/>
      <c r="E25" s="411">
        <f t="shared" si="3"/>
        <v>4500000</v>
      </c>
      <c r="F25" s="410">
        <f>+GETPIVOTDATA("Valor",'inv rubricas'!$L$23,"Column2","02.08")</f>
        <v>25420000</v>
      </c>
      <c r="G25" s="410">
        <f t="shared" si="4"/>
        <v>29920000</v>
      </c>
      <c r="H25" s="407">
        <f t="shared" si="6"/>
        <v>2.3019213083392286E-2</v>
      </c>
      <c r="I25" s="407">
        <f t="shared" si="5"/>
        <v>6.3604242566241392E-2</v>
      </c>
      <c r="J25" s="383"/>
      <c r="K25" s="423"/>
      <c r="L25" s="384"/>
      <c r="M25" s="385"/>
      <c r="N25" s="385"/>
      <c r="O25" s="385"/>
    </row>
    <row r="26" spans="1:15" ht="15" customHeight="1" x14ac:dyDescent="0.25">
      <c r="A26" s="409" t="s">
        <v>715</v>
      </c>
      <c r="B26" s="410" t="s">
        <v>948</v>
      </c>
      <c r="C26" s="410"/>
      <c r="D26" s="410"/>
      <c r="E26" s="410">
        <f t="shared" si="3"/>
        <v>0</v>
      </c>
      <c r="F26" s="410">
        <f>+GETPIVOTDATA("Valor",'inv rubricas'!$L$23,"Column2","03.01")</f>
        <v>240550000</v>
      </c>
      <c r="G26" s="410">
        <f t="shared" si="4"/>
        <v>240550000</v>
      </c>
      <c r="H26" s="407">
        <f t="shared" si="6"/>
        <v>0</v>
      </c>
      <c r="I26" s="407">
        <f t="shared" si="5"/>
        <v>0.51136365472290668</v>
      </c>
      <c r="K26" s="384"/>
    </row>
    <row r="27" spans="1:15" ht="15" customHeight="1" x14ac:dyDescent="0.25">
      <c r="A27" s="718"/>
      <c r="B27" s="719"/>
      <c r="C27" s="719"/>
      <c r="D27" s="719"/>
      <c r="E27" s="719"/>
      <c r="F27" s="719"/>
      <c r="G27" s="720"/>
      <c r="H27" s="720"/>
      <c r="I27" s="720"/>
      <c r="K27" s="384"/>
      <c r="L27" s="422"/>
      <c r="O27" s="621">
        <f>470408872+55118290</f>
        <v>525527162</v>
      </c>
    </row>
    <row r="28" spans="1:15" ht="15" customHeight="1" x14ac:dyDescent="0.25">
      <c r="A28" s="721" t="s">
        <v>699</v>
      </c>
      <c r="B28" s="722"/>
      <c r="C28" s="424"/>
      <c r="D28" s="424"/>
      <c r="E28" s="425"/>
      <c r="F28" s="426">
        <f>F29+F30+F31</f>
        <v>274920000</v>
      </c>
      <c r="G28" s="427"/>
      <c r="H28" s="428"/>
      <c r="I28" s="428"/>
      <c r="K28" s="384"/>
      <c r="L28" s="384"/>
      <c r="O28" s="384"/>
    </row>
    <row r="29" spans="1:15" ht="15" customHeight="1" x14ac:dyDescent="0.25">
      <c r="A29" s="697" t="s">
        <v>949</v>
      </c>
      <c r="B29" s="699"/>
      <c r="C29" s="411"/>
      <c r="D29" s="413"/>
      <c r="E29" s="411"/>
      <c r="F29" s="411">
        <f>+MapaX!E14</f>
        <v>94170000</v>
      </c>
      <c r="G29" s="429"/>
      <c r="H29" s="430"/>
      <c r="I29" s="430"/>
      <c r="K29" s="384"/>
      <c r="O29" s="384"/>
    </row>
    <row r="30" spans="1:15" ht="15" customHeight="1" x14ac:dyDescent="0.25">
      <c r="A30" s="697" t="s">
        <v>950</v>
      </c>
      <c r="B30" s="699"/>
      <c r="C30" s="411"/>
      <c r="D30" s="413"/>
      <c r="E30" s="411"/>
      <c r="F30" s="411">
        <f>+MapaX!F14+MapaX!G14</f>
        <v>180750000</v>
      </c>
      <c r="G30" s="429"/>
      <c r="H30" s="431"/>
      <c r="I30" s="430"/>
    </row>
    <row r="31" spans="1:15" s="383" customFormat="1" ht="15" customHeight="1" x14ac:dyDescent="0.25">
      <c r="A31" s="697" t="s">
        <v>834</v>
      </c>
      <c r="B31" s="699"/>
      <c r="C31" s="411"/>
      <c r="D31" s="413"/>
      <c r="E31" s="411"/>
      <c r="F31" s="411">
        <v>0</v>
      </c>
      <c r="G31" s="429"/>
      <c r="H31" s="432"/>
      <c r="I31" s="432"/>
      <c r="K31" s="385"/>
      <c r="L31" s="384"/>
      <c r="M31" s="385"/>
      <c r="N31" s="385"/>
    </row>
    <row r="32" spans="1:15" s="383" customFormat="1" ht="15" customHeight="1" x14ac:dyDescent="0.25">
      <c r="B32" s="433"/>
      <c r="C32" s="388"/>
      <c r="D32" s="388"/>
      <c r="E32" s="388"/>
      <c r="F32" s="388"/>
      <c r="G32" s="434"/>
      <c r="H32" s="432"/>
      <c r="I32" s="435"/>
      <c r="K32" s="385"/>
      <c r="L32" s="385"/>
      <c r="M32" s="385"/>
      <c r="N32" s="385"/>
    </row>
    <row r="33" spans="1:14" s="383" customFormat="1" ht="15" customHeight="1" x14ac:dyDescent="0.25">
      <c r="B33" s="682" t="s">
        <v>951</v>
      </c>
      <c r="C33" s="682"/>
      <c r="D33" s="705" t="s">
        <v>952</v>
      </c>
      <c r="E33" s="705"/>
      <c r="F33" s="706" t="s">
        <v>953</v>
      </c>
      <c r="G33" s="706"/>
      <c r="H33" s="706"/>
      <c r="I33" s="706"/>
      <c r="K33" s="385"/>
      <c r="L33" s="385"/>
      <c r="M33" s="385"/>
      <c r="N33" s="385"/>
    </row>
    <row r="34" spans="1:14" s="383" customFormat="1" ht="15" customHeight="1" x14ac:dyDescent="0.25">
      <c r="B34" s="707">
        <f>G10</f>
        <v>525527162</v>
      </c>
      <c r="C34" s="699"/>
      <c r="D34" s="707">
        <f>G17</f>
        <v>470408872</v>
      </c>
      <c r="E34" s="708"/>
      <c r="F34" s="709">
        <f>G10-G17</f>
        <v>55118290</v>
      </c>
      <c r="G34" s="710"/>
      <c r="H34" s="710"/>
      <c r="I34" s="711"/>
      <c r="K34" s="436">
        <f>+F34/D34</f>
        <v>0.11717102563490767</v>
      </c>
      <c r="L34" s="385"/>
      <c r="M34" s="385"/>
      <c r="N34" s="385"/>
    </row>
    <row r="35" spans="1:14" s="383" customFormat="1" ht="15" customHeight="1" x14ac:dyDescent="0.25">
      <c r="D35" s="388"/>
      <c r="E35" s="437" t="s">
        <v>954</v>
      </c>
      <c r="F35" s="688">
        <f>G49+G47</f>
        <v>-55118290</v>
      </c>
      <c r="G35" s="689"/>
      <c r="H35" s="689"/>
      <c r="I35" s="690"/>
      <c r="K35" s="385"/>
      <c r="L35" s="385"/>
      <c r="M35" s="385"/>
      <c r="N35" s="385"/>
    </row>
    <row r="36" spans="1:14" s="383" customFormat="1" ht="15" customHeight="1" x14ac:dyDescent="0.25">
      <c r="D36" s="388"/>
      <c r="E36" s="438"/>
      <c r="F36" s="439"/>
      <c r="G36" s="439"/>
      <c r="H36" s="691"/>
      <c r="I36" s="691"/>
      <c r="J36" s="691"/>
      <c r="K36" s="385"/>
      <c r="L36" s="385"/>
      <c r="M36" s="385"/>
      <c r="N36" s="385"/>
    </row>
    <row r="37" spans="1:14" s="383" customFormat="1" ht="15" customHeight="1" x14ac:dyDescent="0.25">
      <c r="A37" s="692" t="s">
        <v>955</v>
      </c>
      <c r="B37" s="693"/>
      <c r="C37" s="693"/>
      <c r="D37" s="694"/>
      <c r="E37" s="692"/>
      <c r="F37" s="694"/>
      <c r="G37" s="692" t="s">
        <v>956</v>
      </c>
      <c r="H37" s="693"/>
      <c r="I37" s="694"/>
      <c r="K37" s="385"/>
      <c r="L37" s="385"/>
      <c r="M37" s="385"/>
      <c r="N37" s="385"/>
    </row>
    <row r="38" spans="1:14" s="383" customFormat="1" ht="18.75" hidden="1" customHeight="1" x14ac:dyDescent="0.25">
      <c r="A38" s="440" t="s">
        <v>957</v>
      </c>
      <c r="B38" s="440"/>
      <c r="C38" s="440"/>
      <c r="D38" s="440"/>
      <c r="E38" s="440"/>
      <c r="F38" s="440"/>
      <c r="G38" s="383">
        <f>G40</f>
        <v>0</v>
      </c>
      <c r="K38" s="385"/>
      <c r="L38" s="385"/>
      <c r="M38" s="385"/>
      <c r="N38" s="385"/>
    </row>
    <row r="39" spans="1:14" s="383" customFormat="1" ht="18.75" hidden="1" customHeight="1" x14ac:dyDescent="0.25">
      <c r="K39" s="385"/>
      <c r="L39" s="385"/>
      <c r="M39" s="385"/>
      <c r="N39" s="385"/>
    </row>
    <row r="40" spans="1:14" s="383" customFormat="1" ht="18.75" hidden="1" customHeight="1" x14ac:dyDescent="0.25">
      <c r="A40" s="441" t="s">
        <v>958</v>
      </c>
      <c r="B40" s="441"/>
      <c r="C40" s="441"/>
      <c r="D40" s="442"/>
      <c r="E40" s="441"/>
      <c r="F40" s="443"/>
      <c r="G40" s="383">
        <f>SUM(G41:I43)</f>
        <v>0</v>
      </c>
      <c r="K40" s="385"/>
      <c r="L40" s="385"/>
      <c r="M40" s="385"/>
      <c r="N40" s="385"/>
    </row>
    <row r="41" spans="1:14" s="383" customFormat="1" ht="18.75" hidden="1" customHeight="1" x14ac:dyDescent="0.25">
      <c r="A41" s="383" t="s">
        <v>959</v>
      </c>
      <c r="D41" s="444"/>
      <c r="F41" s="445"/>
      <c r="K41" s="385"/>
      <c r="L41" s="385"/>
      <c r="M41" s="385"/>
      <c r="N41" s="385"/>
    </row>
    <row r="42" spans="1:14" s="383" customFormat="1" ht="18.75" hidden="1" customHeight="1" x14ac:dyDescent="0.25">
      <c r="A42" s="383" t="s">
        <v>960</v>
      </c>
      <c r="D42" s="444"/>
      <c r="F42" s="446"/>
      <c r="K42" s="385"/>
      <c r="L42" s="385"/>
      <c r="M42" s="385"/>
      <c r="N42" s="385"/>
    </row>
    <row r="43" spans="1:14" s="383" customFormat="1" ht="18.75" hidden="1" customHeight="1" x14ac:dyDescent="0.25">
      <c r="A43" s="383" t="s">
        <v>961</v>
      </c>
      <c r="D43" s="444"/>
      <c r="F43" s="446"/>
      <c r="K43" s="385"/>
      <c r="L43" s="385"/>
      <c r="M43" s="385"/>
      <c r="N43" s="385"/>
    </row>
    <row r="44" spans="1:14" s="383" customFormat="1" ht="18.75" hidden="1" customHeight="1" x14ac:dyDescent="0.25">
      <c r="D44" s="444"/>
      <c r="F44" s="446"/>
      <c r="K44" s="385"/>
      <c r="L44" s="385"/>
      <c r="M44" s="385"/>
      <c r="N44" s="385"/>
    </row>
    <row r="45" spans="1:14" s="383" customFormat="1" ht="18.75" hidden="1" customHeight="1" x14ac:dyDescent="0.25">
      <c r="A45" s="447"/>
      <c r="B45" s="447"/>
      <c r="C45" s="447"/>
      <c r="D45" s="448"/>
      <c r="E45" s="447"/>
      <c r="F45" s="449"/>
      <c r="K45" s="385"/>
      <c r="L45" s="385"/>
      <c r="M45" s="385"/>
      <c r="N45" s="385"/>
    </row>
    <row r="46" spans="1:14" s="383" customFormat="1" ht="18.75" hidden="1" customHeight="1" x14ac:dyDescent="0.25">
      <c r="D46" s="444"/>
      <c r="F46" s="446"/>
      <c r="K46" s="385"/>
      <c r="L46" s="385"/>
      <c r="M46" s="385"/>
      <c r="N46" s="385"/>
    </row>
    <row r="47" spans="1:14" s="383" customFormat="1" ht="13.5" customHeight="1" x14ac:dyDescent="0.25">
      <c r="A47" s="695" t="s">
        <v>962</v>
      </c>
      <c r="B47" s="696"/>
      <c r="C47" s="697" t="s">
        <v>963</v>
      </c>
      <c r="D47" s="698"/>
      <c r="E47" s="698"/>
      <c r="F47" s="699"/>
      <c r="G47" s="688">
        <v>1500000</v>
      </c>
      <c r="H47" s="689"/>
      <c r="I47" s="690"/>
      <c r="K47" s="385"/>
      <c r="L47" s="385"/>
      <c r="M47" s="385"/>
      <c r="N47" s="385"/>
    </row>
    <row r="48" spans="1:14" s="383" customFormat="1" ht="18.75" customHeight="1" x14ac:dyDescent="0.25">
      <c r="D48" s="444"/>
      <c r="F48" s="446"/>
      <c r="K48" s="385"/>
      <c r="L48" s="385"/>
      <c r="M48" s="385"/>
      <c r="N48" s="385"/>
    </row>
    <row r="49" spans="1:14" s="383" customFormat="1" ht="15" customHeight="1" x14ac:dyDescent="0.25">
      <c r="A49" s="450" t="s">
        <v>964</v>
      </c>
      <c r="B49" s="451"/>
      <c r="C49" s="452"/>
      <c r="D49" s="452"/>
      <c r="E49" s="452"/>
      <c r="F49" s="452" t="s">
        <v>965</v>
      </c>
      <c r="G49" s="453">
        <f>G51+G56</f>
        <v>-56618290</v>
      </c>
      <c r="K49" s="385"/>
      <c r="L49" s="385"/>
      <c r="M49" s="385"/>
      <c r="N49" s="385"/>
    </row>
    <row r="50" spans="1:14" s="383" customFormat="1" ht="15" customHeight="1" x14ac:dyDescent="0.25">
      <c r="D50" s="444"/>
      <c r="F50" s="454"/>
      <c r="G50" s="455"/>
      <c r="H50" s="455"/>
      <c r="K50" s="385"/>
      <c r="L50" s="385"/>
      <c r="M50" s="385"/>
      <c r="N50" s="384">
        <f>F34+F35</f>
        <v>0</v>
      </c>
    </row>
    <row r="51" spans="1:14" s="383" customFormat="1" ht="27.75" customHeight="1" x14ac:dyDescent="0.25">
      <c r="A51" s="700" t="s">
        <v>958</v>
      </c>
      <c r="B51" s="701"/>
      <c r="C51" s="456"/>
      <c r="D51" s="456"/>
      <c r="E51" s="456"/>
      <c r="F51" s="456"/>
      <c r="G51" s="457">
        <f>SUM(G52:I55)</f>
        <v>-56618290</v>
      </c>
      <c r="K51" s="422"/>
      <c r="L51" s="385"/>
      <c r="M51" s="385"/>
      <c r="N51" s="385"/>
    </row>
    <row r="52" spans="1:14" s="383" customFormat="1" ht="15" customHeight="1" x14ac:dyDescent="0.25">
      <c r="A52" s="413" t="s">
        <v>966</v>
      </c>
      <c r="B52" s="413"/>
      <c r="C52" s="413"/>
      <c r="D52" s="410"/>
      <c r="E52" s="413"/>
      <c r="F52" s="413"/>
      <c r="G52" s="458">
        <f>MapaIII!D18</f>
        <v>11508375</v>
      </c>
      <c r="H52" s="444"/>
      <c r="I52" s="444"/>
      <c r="K52" s="385"/>
      <c r="L52" s="385"/>
      <c r="M52" s="385"/>
      <c r="N52" s="385"/>
    </row>
    <row r="53" spans="1:14" s="383" customFormat="1" ht="15" customHeight="1" x14ac:dyDescent="0.25">
      <c r="A53" s="413" t="s">
        <v>967</v>
      </c>
      <c r="B53" s="413"/>
      <c r="C53" s="413"/>
      <c r="D53" s="410"/>
      <c r="E53" s="413"/>
      <c r="F53" s="413"/>
      <c r="G53" s="458">
        <f>-GETPIVOTDATA("Soma de amortização",'anexo planofinanceiro'!$O$7)-SUM('anexo planofinanceiro'!B64:B65)</f>
        <v>-66126665</v>
      </c>
      <c r="H53" s="459"/>
      <c r="I53" s="460"/>
      <c r="K53" s="385"/>
      <c r="L53" s="385"/>
      <c r="M53" s="385"/>
      <c r="N53" s="458"/>
    </row>
    <row r="54" spans="1:14" s="383" customFormat="1" ht="15" customHeight="1" x14ac:dyDescent="0.25">
      <c r="A54" s="413" t="s">
        <v>968</v>
      </c>
      <c r="B54" s="413"/>
      <c r="C54" s="413"/>
      <c r="D54" s="410"/>
      <c r="E54" s="413"/>
      <c r="F54" s="413"/>
      <c r="G54" s="410">
        <v>-2000000</v>
      </c>
      <c r="H54" s="444"/>
      <c r="I54" s="444"/>
      <c r="K54" s="385"/>
      <c r="L54" s="385"/>
      <c r="M54" s="385"/>
      <c r="N54" s="385"/>
    </row>
    <row r="55" spans="1:14" s="383" customFormat="1" ht="18.75" hidden="1" customHeight="1" x14ac:dyDescent="0.25">
      <c r="D55" s="444"/>
      <c r="G55" s="702"/>
      <c r="H55" s="702"/>
      <c r="I55" s="702"/>
      <c r="K55" s="385"/>
      <c r="L55" s="385"/>
      <c r="M55" s="385"/>
      <c r="N55" s="385"/>
    </row>
    <row r="56" spans="1:14" s="383" customFormat="1" ht="18.75" hidden="1" customHeight="1" x14ac:dyDescent="0.25">
      <c r="A56" s="441" t="s">
        <v>969</v>
      </c>
      <c r="B56" s="441"/>
      <c r="C56" s="441"/>
      <c r="D56" s="442"/>
      <c r="E56" s="441"/>
      <c r="F56" s="443"/>
      <c r="G56" s="703">
        <f>SUM(G57:I60)</f>
        <v>0</v>
      </c>
      <c r="H56" s="703"/>
      <c r="I56" s="703"/>
      <c r="K56" s="385"/>
      <c r="L56" s="385"/>
      <c r="M56" s="385"/>
      <c r="N56" s="385"/>
    </row>
    <row r="57" spans="1:14" s="383" customFormat="1" ht="18.75" hidden="1" customHeight="1" x14ac:dyDescent="0.25">
      <c r="D57" s="444"/>
      <c r="G57" s="444"/>
      <c r="H57" s="444"/>
      <c r="I57" s="444"/>
      <c r="K57" s="385"/>
      <c r="L57" s="385"/>
      <c r="M57" s="385"/>
      <c r="N57" s="385"/>
    </row>
    <row r="58" spans="1:14" s="383" customFormat="1" ht="18.75" hidden="1" customHeight="1" x14ac:dyDescent="0.25">
      <c r="A58" s="383" t="s">
        <v>966</v>
      </c>
      <c r="D58" s="444"/>
      <c r="G58" s="444"/>
      <c r="H58" s="444"/>
      <c r="I58" s="444"/>
      <c r="K58" s="385"/>
      <c r="L58" s="385"/>
      <c r="M58" s="385"/>
      <c r="N58" s="385"/>
    </row>
    <row r="59" spans="1:14" s="383" customFormat="1" hidden="1" x14ac:dyDescent="0.25">
      <c r="A59" s="383" t="s">
        <v>967</v>
      </c>
      <c r="D59" s="444"/>
      <c r="G59" s="444"/>
      <c r="H59" s="444"/>
      <c r="I59" s="444"/>
      <c r="K59" s="385"/>
      <c r="L59" s="385"/>
      <c r="M59" s="385"/>
      <c r="N59" s="385"/>
    </row>
    <row r="60" spans="1:14" s="383" customFormat="1" hidden="1" x14ac:dyDescent="0.25">
      <c r="D60" s="444"/>
      <c r="G60" s="444"/>
      <c r="H60" s="444"/>
      <c r="I60" s="444"/>
      <c r="K60" s="385"/>
      <c r="L60" s="385"/>
      <c r="M60" s="385"/>
      <c r="N60" s="385"/>
    </row>
    <row r="61" spans="1:14" s="383" customFormat="1" hidden="1" x14ac:dyDescent="0.25">
      <c r="D61" s="444"/>
      <c r="G61" s="444"/>
      <c r="H61" s="444"/>
      <c r="I61" s="444"/>
      <c r="K61" s="385"/>
      <c r="L61" s="385"/>
      <c r="M61" s="385"/>
      <c r="N61" s="385"/>
    </row>
    <row r="62" spans="1:14" s="383" customFormat="1" ht="42.75" customHeight="1" x14ac:dyDescent="0.25">
      <c r="B62" s="681" t="s">
        <v>970</v>
      </c>
      <c r="C62" s="681"/>
      <c r="D62" s="704" t="s">
        <v>971</v>
      </c>
      <c r="E62" s="704"/>
      <c r="G62" s="444"/>
      <c r="K62" s="385"/>
      <c r="L62" s="385"/>
      <c r="M62" s="385"/>
      <c r="N62" s="385"/>
    </row>
    <row r="63" spans="1:14" s="383" customFormat="1" ht="18.75" customHeight="1" x14ac:dyDescent="0.25">
      <c r="B63" s="686">
        <f>G47</f>
        <v>1500000</v>
      </c>
      <c r="C63" s="687"/>
      <c r="D63" s="686">
        <f>G49</f>
        <v>-56618290</v>
      </c>
      <c r="E63" s="687"/>
      <c r="F63" s="453">
        <f>D63-B63</f>
        <v>-58118290</v>
      </c>
      <c r="G63" s="461"/>
      <c r="K63" s="385"/>
      <c r="L63" s="385"/>
      <c r="M63" s="385"/>
      <c r="N63" s="385"/>
    </row>
    <row r="64" spans="1:14" s="383" customFormat="1" x14ac:dyDescent="0.25">
      <c r="G64" s="444"/>
      <c r="H64" s="444"/>
      <c r="I64" s="444"/>
      <c r="K64" s="385"/>
      <c r="L64" s="385"/>
      <c r="M64" s="385"/>
      <c r="N64" s="385"/>
    </row>
    <row r="65" spans="1:14" s="383" customFormat="1" x14ac:dyDescent="0.25">
      <c r="H65" s="389"/>
      <c r="I65" s="389"/>
      <c r="K65" s="385"/>
      <c r="L65" s="385"/>
      <c r="M65" s="385"/>
      <c r="N65" s="385"/>
    </row>
    <row r="66" spans="1:14" s="383" customFormat="1" x14ac:dyDescent="0.25">
      <c r="B66" s="681" t="s">
        <v>972</v>
      </c>
      <c r="C66" s="681"/>
      <c r="D66" s="681"/>
      <c r="E66" s="681"/>
      <c r="F66" s="681"/>
      <c r="G66" s="681"/>
      <c r="H66" s="681"/>
      <c r="I66" s="681"/>
      <c r="K66" s="385"/>
      <c r="L66" s="385"/>
      <c r="M66" s="385"/>
      <c r="N66" s="385">
        <f>+N53/12</f>
        <v>0</v>
      </c>
    </row>
    <row r="67" spans="1:14" ht="15" customHeight="1" x14ac:dyDescent="0.25">
      <c r="A67" s="383"/>
      <c r="B67" s="682" t="s">
        <v>973</v>
      </c>
      <c r="C67" s="682"/>
      <c r="D67" s="682" t="s">
        <v>954</v>
      </c>
      <c r="E67" s="682"/>
      <c r="F67" s="462"/>
      <c r="G67" s="390" t="s">
        <v>974</v>
      </c>
      <c r="H67" s="383"/>
      <c r="I67" s="383"/>
    </row>
    <row r="68" spans="1:14" ht="15.75" customHeight="1" x14ac:dyDescent="0.25">
      <c r="A68" s="383"/>
      <c r="B68" s="683">
        <f>F34</f>
        <v>55118290</v>
      </c>
      <c r="C68" s="684"/>
      <c r="D68" s="685">
        <f>F35</f>
        <v>-55118290</v>
      </c>
      <c r="E68" s="685"/>
      <c r="F68" s="463"/>
      <c r="G68" s="464">
        <f>B68+D68</f>
        <v>0</v>
      </c>
      <c r="H68" s="383"/>
      <c r="I68" s="383"/>
    </row>
    <row r="69" spans="1:14" s="383" customFormat="1" x14ac:dyDescent="0.25">
      <c r="H69" s="389"/>
      <c r="I69" s="389"/>
      <c r="K69" s="385"/>
      <c r="L69" s="385"/>
      <c r="M69" s="385"/>
      <c r="N69" s="385"/>
    </row>
    <row r="70" spans="1:14" s="383" customFormat="1" x14ac:dyDescent="0.25">
      <c r="H70" s="389"/>
      <c r="I70" s="389"/>
      <c r="K70" s="385"/>
      <c r="L70" s="385"/>
      <c r="M70" s="385"/>
      <c r="N70" s="385"/>
    </row>
    <row r="71" spans="1:14" s="383" customFormat="1" x14ac:dyDescent="0.25">
      <c r="H71" s="389"/>
      <c r="I71" s="389"/>
      <c r="K71" s="385"/>
      <c r="L71" s="385"/>
      <c r="M71" s="385"/>
      <c r="N71" s="385"/>
    </row>
    <row r="72" spans="1:14" s="383" customFormat="1" ht="15.75" x14ac:dyDescent="0.25">
      <c r="B72" s="330" t="s">
        <v>1154</v>
      </c>
      <c r="C72" s="330"/>
      <c r="D72" s="330"/>
      <c r="E72" s="330"/>
      <c r="H72" s="389"/>
      <c r="I72" s="389"/>
      <c r="K72" s="385"/>
      <c r="L72" s="385"/>
      <c r="M72" s="385"/>
      <c r="N72" s="385"/>
    </row>
    <row r="73" spans="1:14" s="383" customFormat="1" ht="15.75" x14ac:dyDescent="0.25">
      <c r="B73" s="373"/>
      <c r="C73" s="330"/>
      <c r="D73" s="330"/>
      <c r="E73" s="330"/>
      <c r="H73" s="389"/>
      <c r="I73" s="389"/>
      <c r="K73" s="385"/>
      <c r="L73" s="385"/>
      <c r="M73" s="385"/>
      <c r="N73" s="385"/>
    </row>
    <row r="74" spans="1:14" s="383" customFormat="1" ht="15.75" x14ac:dyDescent="0.25">
      <c r="B74" s="374" t="s">
        <v>376</v>
      </c>
      <c r="C74" s="374"/>
      <c r="D74" s="374"/>
      <c r="E74" s="374"/>
      <c r="F74" s="465"/>
      <c r="H74" s="389"/>
      <c r="I74" s="389"/>
      <c r="K74" s="385"/>
      <c r="L74" s="385"/>
      <c r="M74" s="385"/>
      <c r="N74" s="385"/>
    </row>
    <row r="75" spans="1:14" s="383" customFormat="1" ht="15.75" x14ac:dyDescent="0.25">
      <c r="B75" s="375"/>
      <c r="C75" s="376"/>
      <c r="D75" s="375"/>
      <c r="E75" s="375"/>
      <c r="H75" s="389"/>
      <c r="I75" s="389"/>
      <c r="K75" s="385"/>
      <c r="L75" s="385"/>
      <c r="M75" s="385"/>
      <c r="N75" s="385"/>
    </row>
    <row r="76" spans="1:14" s="383" customFormat="1" ht="15.75" x14ac:dyDescent="0.25">
      <c r="B76" s="375" t="s">
        <v>377</v>
      </c>
      <c r="C76" s="375"/>
      <c r="D76" s="375"/>
      <c r="E76" s="375"/>
      <c r="H76" s="389"/>
      <c r="I76" s="389"/>
      <c r="K76" s="385"/>
      <c r="L76" s="385"/>
      <c r="M76" s="385"/>
      <c r="N76" s="385"/>
    </row>
    <row r="77" spans="1:14" s="383" customFormat="1" ht="15.75" x14ac:dyDescent="0.25">
      <c r="B77" s="271" t="s">
        <v>378</v>
      </c>
      <c r="C77" s="271"/>
      <c r="D77" s="271"/>
      <c r="E77" s="271"/>
      <c r="H77" s="389"/>
      <c r="I77" s="389"/>
      <c r="K77" s="385"/>
      <c r="L77" s="385"/>
      <c r="M77" s="385"/>
      <c r="N77" s="385"/>
    </row>
    <row r="78" spans="1:14" s="383" customFormat="1" x14ac:dyDescent="0.25">
      <c r="H78" s="389"/>
      <c r="I78" s="389"/>
      <c r="K78" s="385"/>
      <c r="L78" s="385"/>
      <c r="M78" s="385"/>
      <c r="N78" s="385"/>
    </row>
    <row r="79" spans="1:14" s="383" customFormat="1" x14ac:dyDescent="0.25">
      <c r="H79" s="389"/>
      <c r="I79" s="389"/>
      <c r="K79" s="385"/>
      <c r="L79" s="385"/>
      <c r="M79" s="385"/>
      <c r="N79" s="385"/>
    </row>
    <row r="80" spans="1:14" s="383" customFormat="1" x14ac:dyDescent="0.25">
      <c r="H80" s="389"/>
      <c r="I80" s="389"/>
      <c r="K80" s="385"/>
      <c r="L80" s="385"/>
      <c r="M80" s="385"/>
      <c r="N80" s="385"/>
    </row>
    <row r="81" spans="8:14" s="383" customFormat="1" x14ac:dyDescent="0.25">
      <c r="H81" s="389"/>
      <c r="I81" s="389"/>
      <c r="K81" s="385"/>
      <c r="L81" s="385"/>
      <c r="M81" s="385"/>
      <c r="N81" s="385"/>
    </row>
    <row r="82" spans="8:14" s="383" customFormat="1" x14ac:dyDescent="0.25">
      <c r="H82" s="389"/>
      <c r="I82" s="389"/>
      <c r="K82" s="385"/>
      <c r="L82" s="385"/>
      <c r="M82" s="385"/>
      <c r="N82" s="385"/>
    </row>
    <row r="83" spans="8:14" s="383" customFormat="1" x14ac:dyDescent="0.25">
      <c r="H83" s="389"/>
      <c r="I83" s="389"/>
      <c r="K83" s="385"/>
      <c r="L83" s="385"/>
      <c r="M83" s="385"/>
      <c r="N83" s="385"/>
    </row>
    <row r="84" spans="8:14" s="383" customFormat="1" x14ac:dyDescent="0.25">
      <c r="H84" s="389"/>
      <c r="I84" s="389"/>
      <c r="K84" s="385"/>
      <c r="L84" s="385"/>
      <c r="M84" s="385"/>
      <c r="N84" s="385"/>
    </row>
    <row r="85" spans="8:14" s="383" customFormat="1" x14ac:dyDescent="0.25">
      <c r="H85" s="389"/>
      <c r="I85" s="389"/>
      <c r="K85" s="385"/>
      <c r="L85" s="385"/>
      <c r="M85" s="385"/>
      <c r="N85" s="385"/>
    </row>
    <row r="86" spans="8:14" s="383" customFormat="1" x14ac:dyDescent="0.25">
      <c r="H86" s="389"/>
      <c r="I86" s="389"/>
      <c r="K86" s="385"/>
      <c r="L86" s="385"/>
      <c r="M86" s="385"/>
      <c r="N86" s="385"/>
    </row>
    <row r="87" spans="8:14" s="383" customFormat="1" x14ac:dyDescent="0.25">
      <c r="H87" s="389"/>
      <c r="I87" s="389"/>
      <c r="K87" s="385"/>
      <c r="L87" s="385"/>
      <c r="M87" s="385"/>
      <c r="N87" s="385"/>
    </row>
    <row r="88" spans="8:14" s="383" customFormat="1" x14ac:dyDescent="0.25">
      <c r="H88" s="389"/>
      <c r="I88" s="389"/>
      <c r="K88" s="385"/>
      <c r="L88" s="385"/>
      <c r="M88" s="385"/>
      <c r="N88" s="385"/>
    </row>
    <row r="89" spans="8:14" s="383" customFormat="1" x14ac:dyDescent="0.25">
      <c r="H89" s="389"/>
      <c r="I89" s="389"/>
      <c r="K89" s="385"/>
      <c r="L89" s="385"/>
      <c r="M89" s="385"/>
      <c r="N89" s="385"/>
    </row>
    <row r="90" spans="8:14" s="383" customFormat="1" x14ac:dyDescent="0.25">
      <c r="H90" s="389"/>
      <c r="I90" s="389"/>
      <c r="K90" s="385"/>
      <c r="L90" s="385"/>
      <c r="M90" s="385"/>
      <c r="N90" s="385"/>
    </row>
    <row r="91" spans="8:14" s="383" customFormat="1" x14ac:dyDescent="0.25">
      <c r="H91" s="389"/>
      <c r="I91" s="389"/>
      <c r="K91" s="385"/>
      <c r="L91" s="385"/>
      <c r="M91" s="385"/>
      <c r="N91" s="385"/>
    </row>
    <row r="92" spans="8:14" s="383" customFormat="1" x14ac:dyDescent="0.25">
      <c r="H92" s="389"/>
      <c r="I92" s="389"/>
      <c r="K92" s="385"/>
      <c r="L92" s="385"/>
      <c r="M92" s="385"/>
      <c r="N92" s="385"/>
    </row>
    <row r="93" spans="8:14" s="383" customFormat="1" x14ac:dyDescent="0.25">
      <c r="H93" s="389"/>
      <c r="I93" s="389"/>
      <c r="K93" s="385"/>
      <c r="L93" s="385"/>
      <c r="M93" s="385"/>
      <c r="N93" s="385"/>
    </row>
    <row r="94" spans="8:14" s="383" customFormat="1" x14ac:dyDescent="0.25">
      <c r="H94" s="389"/>
      <c r="I94" s="389"/>
      <c r="K94" s="385"/>
      <c r="L94" s="385"/>
      <c r="M94" s="385"/>
      <c r="N94" s="385"/>
    </row>
    <row r="95" spans="8:14" s="383" customFormat="1" x14ac:dyDescent="0.25">
      <c r="H95" s="389"/>
      <c r="I95" s="389"/>
      <c r="K95" s="385"/>
      <c r="L95" s="385"/>
      <c r="M95" s="385"/>
      <c r="N95" s="385"/>
    </row>
    <row r="96" spans="8:14" s="383" customFormat="1" x14ac:dyDescent="0.25">
      <c r="H96" s="389"/>
      <c r="I96" s="389"/>
      <c r="K96" s="385"/>
      <c r="L96" s="385"/>
      <c r="M96" s="385"/>
      <c r="N96" s="385"/>
    </row>
    <row r="97" spans="8:14" s="383" customFormat="1" x14ac:dyDescent="0.25">
      <c r="H97" s="389"/>
      <c r="I97" s="389"/>
      <c r="K97" s="385"/>
      <c r="L97" s="385"/>
      <c r="M97" s="385"/>
      <c r="N97" s="385"/>
    </row>
    <row r="98" spans="8:14" s="383" customFormat="1" x14ac:dyDescent="0.25">
      <c r="H98" s="389"/>
      <c r="I98" s="389"/>
      <c r="K98" s="385"/>
      <c r="L98" s="385"/>
      <c r="M98" s="385"/>
      <c r="N98" s="385"/>
    </row>
    <row r="99" spans="8:14" s="383" customFormat="1" x14ac:dyDescent="0.25">
      <c r="H99" s="389"/>
      <c r="I99" s="389"/>
      <c r="K99" s="385"/>
      <c r="L99" s="385"/>
      <c r="M99" s="385"/>
      <c r="N99" s="385"/>
    </row>
    <row r="100" spans="8:14" s="383" customFormat="1" x14ac:dyDescent="0.25">
      <c r="H100" s="389"/>
      <c r="I100" s="389"/>
      <c r="K100" s="385"/>
      <c r="L100" s="385"/>
      <c r="M100" s="385"/>
      <c r="N100" s="385"/>
    </row>
    <row r="101" spans="8:14" s="383" customFormat="1" x14ac:dyDescent="0.25">
      <c r="H101" s="389"/>
      <c r="I101" s="389"/>
      <c r="K101" s="385"/>
      <c r="L101" s="385"/>
      <c r="M101" s="385"/>
      <c r="N101" s="385"/>
    </row>
    <row r="102" spans="8:14" s="383" customFormat="1" x14ac:dyDescent="0.25">
      <c r="H102" s="389"/>
      <c r="I102" s="389"/>
      <c r="K102" s="385"/>
      <c r="L102" s="385"/>
      <c r="M102" s="385"/>
      <c r="N102" s="385"/>
    </row>
    <row r="103" spans="8:14" s="383" customFormat="1" x14ac:dyDescent="0.25">
      <c r="H103" s="389"/>
      <c r="I103" s="389"/>
      <c r="K103" s="385"/>
      <c r="L103" s="385"/>
      <c r="M103" s="385"/>
      <c r="N103" s="385"/>
    </row>
  </sheetData>
  <mergeCells count="39">
    <mergeCell ref="K9:L9"/>
    <mergeCell ref="A10:B10"/>
    <mergeCell ref="A30:B30"/>
    <mergeCell ref="A2:I2"/>
    <mergeCell ref="A5:I5"/>
    <mergeCell ref="A6:I6"/>
    <mergeCell ref="A7:I7"/>
    <mergeCell ref="K13:L13"/>
    <mergeCell ref="A17:B17"/>
    <mergeCell ref="A27:I27"/>
    <mergeCell ref="A28:B28"/>
    <mergeCell ref="A29:B29"/>
    <mergeCell ref="A31:B31"/>
    <mergeCell ref="B33:C33"/>
    <mergeCell ref="D33:E33"/>
    <mergeCell ref="F33:I33"/>
    <mergeCell ref="B34:C34"/>
    <mergeCell ref="D34:E34"/>
    <mergeCell ref="F34:I34"/>
    <mergeCell ref="B63:C63"/>
    <mergeCell ref="D63:E63"/>
    <mergeCell ref="F35:I35"/>
    <mergeCell ref="H36:J36"/>
    <mergeCell ref="A37:D37"/>
    <mergeCell ref="E37:F37"/>
    <mergeCell ref="G37:I37"/>
    <mergeCell ref="A47:B47"/>
    <mergeCell ref="C47:F47"/>
    <mergeCell ref="G47:I47"/>
    <mergeCell ref="A51:B51"/>
    <mergeCell ref="G55:I55"/>
    <mergeCell ref="G56:I56"/>
    <mergeCell ref="B62:C62"/>
    <mergeCell ref="D62:E62"/>
    <mergeCell ref="B66:I66"/>
    <mergeCell ref="B67:C67"/>
    <mergeCell ref="D67:E67"/>
    <mergeCell ref="B68:C68"/>
    <mergeCell ref="D68:E68"/>
  </mergeCells>
  <conditionalFormatting sqref="K10">
    <cfRule type="cellIs" dxfId="8" priority="1" operator="lessThan">
      <formula>0</formula>
    </cfRule>
    <cfRule type="cellIs" dxfId="7" priority="2" operator="greaterThan">
      <formula>0</formula>
    </cfRule>
  </conditionalFormatting>
  <printOptions horizontalCentered="1"/>
  <pageMargins left="0.59055118110236227" right="0.19685039370078741" top="0.74803149606299213" bottom="0.35433070866141736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3"/>
  <sheetViews>
    <sheetView topLeftCell="A51" workbookViewId="0">
      <selection activeCell="A61" sqref="A61:A103"/>
    </sheetView>
  </sheetViews>
  <sheetFormatPr defaultRowHeight="15" x14ac:dyDescent="0.25"/>
  <cols>
    <col min="2" max="2" width="106.5703125" bestFit="1" customWidth="1"/>
  </cols>
  <sheetData>
    <row r="1" spans="1:4" x14ac:dyDescent="0.25">
      <c r="A1">
        <f>+MATCH(B1,D:D,0)</f>
        <v>1</v>
      </c>
      <c r="B1" t="s">
        <v>925</v>
      </c>
      <c r="C1">
        <f>+MATCH(D1,B:B,0)</f>
        <v>1</v>
      </c>
      <c r="D1" t="s">
        <v>925</v>
      </c>
    </row>
    <row r="2" spans="1:4" x14ac:dyDescent="0.25">
      <c r="A2">
        <f t="shared" ref="A2:A57" si="0">+MATCH(B2,D:D,0)</f>
        <v>2</v>
      </c>
      <c r="B2" t="s">
        <v>867</v>
      </c>
      <c r="C2">
        <f t="shared" ref="C2:C57" si="1">+MATCH(D2,B:B,0)</f>
        <v>2</v>
      </c>
      <c r="D2" t="s">
        <v>867</v>
      </c>
    </row>
    <row r="3" spans="1:4" x14ac:dyDescent="0.25">
      <c r="A3">
        <f t="shared" si="0"/>
        <v>3</v>
      </c>
      <c r="B3" t="s">
        <v>855</v>
      </c>
      <c r="C3">
        <f t="shared" si="1"/>
        <v>3</v>
      </c>
      <c r="D3" t="s">
        <v>855</v>
      </c>
    </row>
    <row r="4" spans="1:4" x14ac:dyDescent="0.25">
      <c r="A4">
        <f t="shared" si="0"/>
        <v>4</v>
      </c>
      <c r="B4" t="s">
        <v>872</v>
      </c>
      <c r="C4">
        <f t="shared" si="1"/>
        <v>4</v>
      </c>
      <c r="D4" t="s">
        <v>872</v>
      </c>
    </row>
    <row r="5" spans="1:4" x14ac:dyDescent="0.25">
      <c r="A5">
        <f t="shared" si="0"/>
        <v>5</v>
      </c>
      <c r="B5" t="s">
        <v>875</v>
      </c>
      <c r="C5">
        <f t="shared" si="1"/>
        <v>5</v>
      </c>
      <c r="D5" t="s">
        <v>875</v>
      </c>
    </row>
    <row r="6" spans="1:4" x14ac:dyDescent="0.25">
      <c r="A6">
        <f t="shared" si="0"/>
        <v>6</v>
      </c>
      <c r="B6" t="s">
        <v>856</v>
      </c>
      <c r="C6">
        <f t="shared" si="1"/>
        <v>6</v>
      </c>
      <c r="D6" t="s">
        <v>856</v>
      </c>
    </row>
    <row r="7" spans="1:4" x14ac:dyDescent="0.25">
      <c r="A7">
        <f t="shared" si="0"/>
        <v>7</v>
      </c>
      <c r="B7" t="s">
        <v>913</v>
      </c>
      <c r="C7">
        <f t="shared" si="1"/>
        <v>7</v>
      </c>
      <c r="D7" t="s">
        <v>913</v>
      </c>
    </row>
    <row r="8" spans="1:4" x14ac:dyDescent="0.25">
      <c r="A8">
        <f t="shared" si="0"/>
        <v>8</v>
      </c>
      <c r="B8" t="s">
        <v>770</v>
      </c>
      <c r="C8">
        <f t="shared" si="1"/>
        <v>8</v>
      </c>
      <c r="D8" t="s">
        <v>770</v>
      </c>
    </row>
    <row r="9" spans="1:4" x14ac:dyDescent="0.25">
      <c r="A9">
        <f t="shared" si="0"/>
        <v>9</v>
      </c>
      <c r="B9" t="s">
        <v>861</v>
      </c>
      <c r="C9">
        <f t="shared" si="1"/>
        <v>9</v>
      </c>
      <c r="D9" t="s">
        <v>861</v>
      </c>
    </row>
    <row r="10" spans="1:4" x14ac:dyDescent="0.25">
      <c r="A10">
        <f t="shared" si="0"/>
        <v>10</v>
      </c>
      <c r="B10" t="s">
        <v>776</v>
      </c>
      <c r="C10">
        <f t="shared" si="1"/>
        <v>10</v>
      </c>
      <c r="D10" t="s">
        <v>776</v>
      </c>
    </row>
    <row r="11" spans="1:4" x14ac:dyDescent="0.25">
      <c r="A11">
        <f t="shared" si="0"/>
        <v>11</v>
      </c>
      <c r="B11" t="s">
        <v>751</v>
      </c>
      <c r="C11">
        <f t="shared" si="1"/>
        <v>11</v>
      </c>
      <c r="D11" t="s">
        <v>751</v>
      </c>
    </row>
    <row r="12" spans="1:4" x14ac:dyDescent="0.25">
      <c r="A12">
        <f t="shared" si="0"/>
        <v>12</v>
      </c>
      <c r="B12" t="s">
        <v>918</v>
      </c>
      <c r="C12">
        <f t="shared" si="1"/>
        <v>12</v>
      </c>
      <c r="D12" t="s">
        <v>918</v>
      </c>
    </row>
    <row r="13" spans="1:4" x14ac:dyDescent="0.25">
      <c r="A13">
        <f t="shared" si="0"/>
        <v>13</v>
      </c>
      <c r="B13" t="s">
        <v>917</v>
      </c>
      <c r="C13">
        <f t="shared" si="1"/>
        <v>13</v>
      </c>
      <c r="D13" t="s">
        <v>917</v>
      </c>
    </row>
    <row r="14" spans="1:4" x14ac:dyDescent="0.25">
      <c r="A14">
        <f t="shared" si="0"/>
        <v>14</v>
      </c>
      <c r="B14" t="s">
        <v>915</v>
      </c>
      <c r="C14">
        <f t="shared" si="1"/>
        <v>14</v>
      </c>
      <c r="D14" t="s">
        <v>915</v>
      </c>
    </row>
    <row r="15" spans="1:4" x14ac:dyDescent="0.25">
      <c r="A15">
        <f t="shared" si="0"/>
        <v>15</v>
      </c>
      <c r="B15" t="s">
        <v>755</v>
      </c>
      <c r="C15">
        <f t="shared" si="1"/>
        <v>15</v>
      </c>
      <c r="D15" t="s">
        <v>755</v>
      </c>
    </row>
    <row r="16" spans="1:4" x14ac:dyDescent="0.25">
      <c r="A16">
        <f t="shared" si="0"/>
        <v>16</v>
      </c>
      <c r="B16" t="s">
        <v>732</v>
      </c>
      <c r="C16">
        <f t="shared" si="1"/>
        <v>16</v>
      </c>
      <c r="D16" t="s">
        <v>732</v>
      </c>
    </row>
    <row r="17" spans="1:4" x14ac:dyDescent="0.25">
      <c r="A17">
        <f t="shared" si="0"/>
        <v>19</v>
      </c>
      <c r="B17" t="s">
        <v>883</v>
      </c>
      <c r="C17" t="e">
        <f t="shared" si="1"/>
        <v>#N/A</v>
      </c>
      <c r="D17" t="s">
        <v>916</v>
      </c>
    </row>
    <row r="18" spans="1:4" x14ac:dyDescent="0.25">
      <c r="A18">
        <f t="shared" si="0"/>
        <v>21</v>
      </c>
      <c r="B18" t="s">
        <v>892</v>
      </c>
      <c r="C18" t="e">
        <f t="shared" si="1"/>
        <v>#N/A</v>
      </c>
      <c r="D18" t="s">
        <v>912</v>
      </c>
    </row>
    <row r="19" spans="1:4" x14ac:dyDescent="0.25">
      <c r="A19" t="e">
        <f t="shared" si="0"/>
        <v>#N/A</v>
      </c>
      <c r="B19" t="s">
        <v>749</v>
      </c>
      <c r="C19">
        <f t="shared" si="1"/>
        <v>17</v>
      </c>
      <c r="D19" t="s">
        <v>883</v>
      </c>
    </row>
    <row r="20" spans="1:4" x14ac:dyDescent="0.25">
      <c r="A20">
        <f t="shared" si="0"/>
        <v>22</v>
      </c>
      <c r="B20" t="s">
        <v>1027</v>
      </c>
      <c r="C20" t="e">
        <f t="shared" si="1"/>
        <v>#N/A</v>
      </c>
      <c r="D20" t="s">
        <v>862</v>
      </c>
    </row>
    <row r="21" spans="1:4" x14ac:dyDescent="0.25">
      <c r="A21">
        <f t="shared" si="0"/>
        <v>23</v>
      </c>
      <c r="B21" t="s">
        <v>761</v>
      </c>
      <c r="C21">
        <f t="shared" si="1"/>
        <v>18</v>
      </c>
      <c r="D21" t="s">
        <v>892</v>
      </c>
    </row>
    <row r="22" spans="1:4" x14ac:dyDescent="0.25">
      <c r="A22">
        <f t="shared" si="0"/>
        <v>24</v>
      </c>
      <c r="B22" t="s">
        <v>905</v>
      </c>
      <c r="C22">
        <f t="shared" si="1"/>
        <v>20</v>
      </c>
      <c r="D22" t="s">
        <v>1027</v>
      </c>
    </row>
    <row r="23" spans="1:4" x14ac:dyDescent="0.25">
      <c r="A23" t="e">
        <f t="shared" si="0"/>
        <v>#N/A</v>
      </c>
      <c r="B23" t="s">
        <v>838</v>
      </c>
      <c r="C23">
        <f t="shared" si="1"/>
        <v>21</v>
      </c>
      <c r="D23" t="s">
        <v>761</v>
      </c>
    </row>
    <row r="24" spans="1:4" x14ac:dyDescent="0.25">
      <c r="A24" t="e">
        <f t="shared" si="0"/>
        <v>#N/A</v>
      </c>
      <c r="B24" t="s">
        <v>1023</v>
      </c>
      <c r="C24">
        <f t="shared" si="1"/>
        <v>22</v>
      </c>
      <c r="D24" t="s">
        <v>905</v>
      </c>
    </row>
    <row r="25" spans="1:4" x14ac:dyDescent="0.25">
      <c r="A25">
        <f t="shared" si="0"/>
        <v>25</v>
      </c>
      <c r="B25" t="s">
        <v>866</v>
      </c>
      <c r="C25">
        <f t="shared" si="1"/>
        <v>25</v>
      </c>
      <c r="D25" t="s">
        <v>866</v>
      </c>
    </row>
    <row r="26" spans="1:4" x14ac:dyDescent="0.25">
      <c r="A26">
        <f t="shared" si="0"/>
        <v>26</v>
      </c>
      <c r="B26" t="s">
        <v>853</v>
      </c>
      <c r="C26">
        <f t="shared" si="1"/>
        <v>26</v>
      </c>
      <c r="D26" t="s">
        <v>853</v>
      </c>
    </row>
    <row r="27" spans="1:4" x14ac:dyDescent="0.25">
      <c r="A27">
        <f t="shared" si="0"/>
        <v>27</v>
      </c>
      <c r="B27" t="s">
        <v>784</v>
      </c>
      <c r="C27">
        <f t="shared" si="1"/>
        <v>27</v>
      </c>
      <c r="D27" t="s">
        <v>784</v>
      </c>
    </row>
    <row r="28" spans="1:4" x14ac:dyDescent="0.25">
      <c r="A28">
        <f t="shared" si="0"/>
        <v>28</v>
      </c>
      <c r="B28" t="s">
        <v>760</v>
      </c>
      <c r="C28">
        <f t="shared" si="1"/>
        <v>28</v>
      </c>
      <c r="D28" t="s">
        <v>760</v>
      </c>
    </row>
    <row r="29" spans="1:4" x14ac:dyDescent="0.25">
      <c r="A29" t="e">
        <f t="shared" si="0"/>
        <v>#N/A</v>
      </c>
      <c r="B29" t="s">
        <v>1026</v>
      </c>
      <c r="C29" t="e">
        <f t="shared" si="1"/>
        <v>#N/A</v>
      </c>
      <c r="D29" t="s">
        <v>896</v>
      </c>
    </row>
    <row r="30" spans="1:4" x14ac:dyDescent="0.25">
      <c r="A30">
        <f t="shared" si="0"/>
        <v>31</v>
      </c>
      <c r="B30" t="s">
        <v>890</v>
      </c>
      <c r="C30" t="e">
        <f t="shared" si="1"/>
        <v>#N/A</v>
      </c>
      <c r="D30" t="s">
        <v>899</v>
      </c>
    </row>
    <row r="31" spans="1:4" x14ac:dyDescent="0.25">
      <c r="A31">
        <f t="shared" si="0"/>
        <v>32</v>
      </c>
      <c r="B31" t="s">
        <v>754</v>
      </c>
      <c r="C31">
        <f t="shared" si="1"/>
        <v>30</v>
      </c>
      <c r="D31" t="s">
        <v>890</v>
      </c>
    </row>
    <row r="32" spans="1:4" x14ac:dyDescent="0.25">
      <c r="A32" t="e">
        <f t="shared" si="0"/>
        <v>#N/A</v>
      </c>
      <c r="B32" t="s">
        <v>1025</v>
      </c>
      <c r="C32">
        <f t="shared" si="1"/>
        <v>31</v>
      </c>
      <c r="D32" t="s">
        <v>754</v>
      </c>
    </row>
    <row r="33" spans="1:4" x14ac:dyDescent="0.25">
      <c r="A33">
        <f t="shared" si="0"/>
        <v>34</v>
      </c>
      <c r="B33" t="s">
        <v>750</v>
      </c>
      <c r="C33" t="e">
        <f t="shared" si="1"/>
        <v>#N/A</v>
      </c>
      <c r="D33" t="s">
        <v>748</v>
      </c>
    </row>
    <row r="34" spans="1:4" x14ac:dyDescent="0.25">
      <c r="A34">
        <f t="shared" si="0"/>
        <v>35</v>
      </c>
      <c r="B34" t="s">
        <v>742</v>
      </c>
      <c r="C34">
        <f t="shared" si="1"/>
        <v>33</v>
      </c>
      <c r="D34" t="s">
        <v>750</v>
      </c>
    </row>
    <row r="35" spans="1:4" x14ac:dyDescent="0.25">
      <c r="A35">
        <f t="shared" si="0"/>
        <v>36</v>
      </c>
      <c r="B35" t="s">
        <v>902</v>
      </c>
      <c r="C35">
        <f t="shared" si="1"/>
        <v>34</v>
      </c>
      <c r="D35" t="s">
        <v>742</v>
      </c>
    </row>
    <row r="36" spans="1:4" x14ac:dyDescent="0.25">
      <c r="A36" t="e">
        <f t="shared" si="0"/>
        <v>#N/A</v>
      </c>
      <c r="B36" t="s">
        <v>1020</v>
      </c>
      <c r="C36">
        <f t="shared" si="1"/>
        <v>35</v>
      </c>
      <c r="D36" t="s">
        <v>902</v>
      </c>
    </row>
    <row r="37" spans="1:4" x14ac:dyDescent="0.25">
      <c r="A37">
        <f t="shared" si="0"/>
        <v>38</v>
      </c>
      <c r="B37" t="s">
        <v>763</v>
      </c>
      <c r="C37" t="e">
        <f t="shared" si="1"/>
        <v>#N/A</v>
      </c>
      <c r="D37" t="s">
        <v>848</v>
      </c>
    </row>
    <row r="38" spans="1:4" x14ac:dyDescent="0.25">
      <c r="A38">
        <f t="shared" si="0"/>
        <v>40</v>
      </c>
      <c r="B38" t="s">
        <v>752</v>
      </c>
      <c r="C38">
        <f t="shared" si="1"/>
        <v>37</v>
      </c>
      <c r="D38" t="s">
        <v>763</v>
      </c>
    </row>
    <row r="39" spans="1:4" x14ac:dyDescent="0.25">
      <c r="A39">
        <f t="shared" si="0"/>
        <v>41</v>
      </c>
      <c r="B39" t="s">
        <v>846</v>
      </c>
      <c r="C39" t="e">
        <f t="shared" si="1"/>
        <v>#N/A</v>
      </c>
      <c r="D39" t="s">
        <v>900</v>
      </c>
    </row>
    <row r="40" spans="1:4" x14ac:dyDescent="0.25">
      <c r="A40">
        <f t="shared" si="0"/>
        <v>42</v>
      </c>
      <c r="B40" t="s">
        <v>873</v>
      </c>
      <c r="C40">
        <f t="shared" si="1"/>
        <v>38</v>
      </c>
      <c r="D40" t="s">
        <v>752</v>
      </c>
    </row>
    <row r="41" spans="1:4" x14ac:dyDescent="0.25">
      <c r="A41" t="e">
        <f t="shared" si="0"/>
        <v>#N/A</v>
      </c>
      <c r="B41" t="s">
        <v>1024</v>
      </c>
      <c r="C41">
        <f t="shared" si="1"/>
        <v>39</v>
      </c>
      <c r="D41" t="s">
        <v>846</v>
      </c>
    </row>
    <row r="42" spans="1:4" x14ac:dyDescent="0.25">
      <c r="A42">
        <f t="shared" si="0"/>
        <v>44</v>
      </c>
      <c r="B42" t="s">
        <v>747</v>
      </c>
      <c r="C42">
        <f t="shared" si="1"/>
        <v>40</v>
      </c>
      <c r="D42" t="s">
        <v>873</v>
      </c>
    </row>
    <row r="43" spans="1:4" x14ac:dyDescent="0.25">
      <c r="A43" t="e">
        <f t="shared" si="0"/>
        <v>#N/A</v>
      </c>
      <c r="B43" t="s">
        <v>1021</v>
      </c>
      <c r="C43" t="e">
        <f t="shared" si="1"/>
        <v>#N/A</v>
      </c>
      <c r="D43" t="s">
        <v>920</v>
      </c>
    </row>
    <row r="44" spans="1:4" x14ac:dyDescent="0.25">
      <c r="A44">
        <f t="shared" si="0"/>
        <v>46</v>
      </c>
      <c r="B44" t="s">
        <v>910</v>
      </c>
      <c r="C44">
        <f t="shared" si="1"/>
        <v>42</v>
      </c>
      <c r="D44" t="s">
        <v>747</v>
      </c>
    </row>
    <row r="45" spans="1:4" x14ac:dyDescent="0.25">
      <c r="A45">
        <f t="shared" si="0"/>
        <v>47</v>
      </c>
      <c r="B45" t="s">
        <v>893</v>
      </c>
      <c r="C45" t="e">
        <f t="shared" si="1"/>
        <v>#N/A</v>
      </c>
      <c r="D45" t="s">
        <v>911</v>
      </c>
    </row>
    <row r="46" spans="1:4" x14ac:dyDescent="0.25">
      <c r="A46">
        <f t="shared" si="0"/>
        <v>48</v>
      </c>
      <c r="B46" t="s">
        <v>889</v>
      </c>
      <c r="C46">
        <f t="shared" si="1"/>
        <v>44</v>
      </c>
      <c r="D46" t="s">
        <v>910</v>
      </c>
    </row>
    <row r="47" spans="1:4" x14ac:dyDescent="0.25">
      <c r="A47">
        <f t="shared" si="0"/>
        <v>49</v>
      </c>
      <c r="B47" t="s">
        <v>914</v>
      </c>
      <c r="C47">
        <f t="shared" si="1"/>
        <v>45</v>
      </c>
      <c r="D47" t="s">
        <v>893</v>
      </c>
    </row>
    <row r="48" spans="1:4" x14ac:dyDescent="0.25">
      <c r="A48">
        <f t="shared" si="0"/>
        <v>50</v>
      </c>
      <c r="B48" t="s">
        <v>919</v>
      </c>
      <c r="C48">
        <f t="shared" si="1"/>
        <v>46</v>
      </c>
      <c r="D48" t="s">
        <v>889</v>
      </c>
    </row>
    <row r="49" spans="1:7" x14ac:dyDescent="0.25">
      <c r="A49">
        <f t="shared" si="0"/>
        <v>51</v>
      </c>
      <c r="B49" t="s">
        <v>909</v>
      </c>
      <c r="C49">
        <f t="shared" si="1"/>
        <v>47</v>
      </c>
      <c r="D49" t="s">
        <v>914</v>
      </c>
    </row>
    <row r="50" spans="1:7" x14ac:dyDescent="0.25">
      <c r="A50">
        <f t="shared" si="0"/>
        <v>52</v>
      </c>
      <c r="B50" t="s">
        <v>886</v>
      </c>
      <c r="C50">
        <f t="shared" si="1"/>
        <v>48</v>
      </c>
      <c r="D50" t="s">
        <v>919</v>
      </c>
    </row>
    <row r="51" spans="1:7" x14ac:dyDescent="0.25">
      <c r="A51">
        <f t="shared" si="0"/>
        <v>53</v>
      </c>
      <c r="B51" t="s">
        <v>901</v>
      </c>
      <c r="C51">
        <f t="shared" si="1"/>
        <v>49</v>
      </c>
      <c r="D51" t="s">
        <v>909</v>
      </c>
    </row>
    <row r="52" spans="1:7" x14ac:dyDescent="0.25">
      <c r="A52">
        <f t="shared" si="0"/>
        <v>54</v>
      </c>
      <c r="B52" t="s">
        <v>877</v>
      </c>
      <c r="C52">
        <f t="shared" si="1"/>
        <v>50</v>
      </c>
      <c r="D52" t="s">
        <v>886</v>
      </c>
    </row>
    <row r="53" spans="1:7" x14ac:dyDescent="0.25">
      <c r="A53">
        <f t="shared" si="0"/>
        <v>55</v>
      </c>
      <c r="B53" t="s">
        <v>758</v>
      </c>
      <c r="C53">
        <f t="shared" si="1"/>
        <v>51</v>
      </c>
      <c r="D53" t="s">
        <v>901</v>
      </c>
    </row>
    <row r="54" spans="1:7" x14ac:dyDescent="0.25">
      <c r="A54">
        <f t="shared" si="0"/>
        <v>56</v>
      </c>
      <c r="B54" t="s">
        <v>741</v>
      </c>
      <c r="C54">
        <f t="shared" si="1"/>
        <v>52</v>
      </c>
      <c r="D54" t="s">
        <v>877</v>
      </c>
    </row>
    <row r="55" spans="1:7" x14ac:dyDescent="0.25">
      <c r="A55">
        <f t="shared" si="0"/>
        <v>57</v>
      </c>
      <c r="B55" t="s">
        <v>778</v>
      </c>
      <c r="C55">
        <f t="shared" si="1"/>
        <v>53</v>
      </c>
      <c r="D55" t="s">
        <v>758</v>
      </c>
    </row>
    <row r="56" spans="1:7" x14ac:dyDescent="0.25">
      <c r="A56" t="e">
        <f t="shared" si="0"/>
        <v>#N/A</v>
      </c>
      <c r="B56" t="s">
        <v>1022</v>
      </c>
      <c r="C56">
        <f t="shared" si="1"/>
        <v>54</v>
      </c>
      <c r="D56" t="s">
        <v>741</v>
      </c>
    </row>
    <row r="57" spans="1:7" x14ac:dyDescent="0.25">
      <c r="A57" t="e">
        <f t="shared" si="0"/>
        <v>#N/A</v>
      </c>
      <c r="C57">
        <f t="shared" si="1"/>
        <v>55</v>
      </c>
      <c r="D57" t="s">
        <v>778</v>
      </c>
    </row>
    <row r="60" spans="1:7" x14ac:dyDescent="0.25">
      <c r="G60" t="s">
        <v>1042</v>
      </c>
    </row>
    <row r="61" spans="1:7" x14ac:dyDescent="0.25">
      <c r="A61" t="s">
        <v>861</v>
      </c>
      <c r="B61">
        <v>3205000</v>
      </c>
      <c r="C61" t="s">
        <v>469</v>
      </c>
      <c r="D61" t="s">
        <v>404</v>
      </c>
      <c r="G61" t="e">
        <v>#N/A</v>
      </c>
    </row>
    <row r="62" spans="1:7" x14ac:dyDescent="0.25">
      <c r="A62" t="s">
        <v>1021</v>
      </c>
      <c r="B62">
        <v>2000000</v>
      </c>
      <c r="C62" t="s">
        <v>469</v>
      </c>
      <c r="D62" t="s">
        <v>404</v>
      </c>
      <c r="G62" t="e">
        <v>#N/A</v>
      </c>
    </row>
    <row r="63" spans="1:7" hidden="1" x14ac:dyDescent="0.25">
      <c r="A63" t="s">
        <v>866</v>
      </c>
      <c r="B63">
        <v>1100000</v>
      </c>
      <c r="C63" t="s">
        <v>449</v>
      </c>
      <c r="D63" t="s">
        <v>408</v>
      </c>
      <c r="G63">
        <v>24</v>
      </c>
    </row>
    <row r="64" spans="1:7" hidden="1" x14ac:dyDescent="0.25">
      <c r="A64" t="s">
        <v>867</v>
      </c>
      <c r="B64">
        <v>400000</v>
      </c>
      <c r="C64" t="s">
        <v>449</v>
      </c>
      <c r="D64" t="s">
        <v>408</v>
      </c>
      <c r="G64">
        <v>23</v>
      </c>
    </row>
    <row r="65" spans="1:7" hidden="1" x14ac:dyDescent="0.25">
      <c r="A65" t="s">
        <v>770</v>
      </c>
      <c r="B65">
        <v>4000000</v>
      </c>
      <c r="C65" t="s">
        <v>449</v>
      </c>
      <c r="D65" t="s">
        <v>403</v>
      </c>
      <c r="G65">
        <v>77</v>
      </c>
    </row>
    <row r="66" spans="1:7" hidden="1" x14ac:dyDescent="0.25">
      <c r="A66" t="s">
        <v>872</v>
      </c>
      <c r="B66">
        <v>300000</v>
      </c>
      <c r="C66" t="s">
        <v>445</v>
      </c>
      <c r="D66" t="s">
        <v>409</v>
      </c>
      <c r="G66">
        <v>75</v>
      </c>
    </row>
    <row r="67" spans="1:7" hidden="1" x14ac:dyDescent="0.25">
      <c r="A67" t="s">
        <v>873</v>
      </c>
      <c r="B67">
        <v>2500000</v>
      </c>
      <c r="C67" t="s">
        <v>445</v>
      </c>
      <c r="D67" t="s">
        <v>409</v>
      </c>
      <c r="G67">
        <v>85</v>
      </c>
    </row>
    <row r="68" spans="1:7" hidden="1" x14ac:dyDescent="0.25">
      <c r="A68" t="s">
        <v>875</v>
      </c>
      <c r="B68">
        <v>1000000</v>
      </c>
      <c r="C68" t="s">
        <v>485</v>
      </c>
      <c r="D68" t="s">
        <v>405</v>
      </c>
      <c r="G68">
        <v>26</v>
      </c>
    </row>
    <row r="69" spans="1:7" hidden="1" x14ac:dyDescent="0.25">
      <c r="A69" t="s">
        <v>877</v>
      </c>
      <c r="B69">
        <v>1700000</v>
      </c>
      <c r="C69" t="s">
        <v>469</v>
      </c>
      <c r="D69" t="s">
        <v>406</v>
      </c>
      <c r="G69">
        <v>28</v>
      </c>
    </row>
    <row r="70" spans="1:7" hidden="1" x14ac:dyDescent="0.25">
      <c r="A70" t="s">
        <v>751</v>
      </c>
      <c r="B70">
        <v>2000000</v>
      </c>
      <c r="C70" t="s">
        <v>438</v>
      </c>
      <c r="D70" t="s">
        <v>406</v>
      </c>
      <c r="G70">
        <v>64</v>
      </c>
    </row>
    <row r="71" spans="1:7" hidden="1" x14ac:dyDescent="0.25">
      <c r="A71" t="s">
        <v>732</v>
      </c>
      <c r="B71">
        <v>3000000</v>
      </c>
      <c r="C71" t="s">
        <v>469</v>
      </c>
      <c r="D71" t="s">
        <v>420</v>
      </c>
      <c r="G71">
        <v>30</v>
      </c>
    </row>
    <row r="72" spans="1:7" hidden="1" x14ac:dyDescent="0.25">
      <c r="A72" t="s">
        <v>883</v>
      </c>
      <c r="B72">
        <v>5000000</v>
      </c>
      <c r="C72" t="s">
        <v>469</v>
      </c>
      <c r="D72" t="s">
        <v>420</v>
      </c>
      <c r="G72">
        <v>31</v>
      </c>
    </row>
    <row r="73" spans="1:7" hidden="1" x14ac:dyDescent="0.25">
      <c r="A73" t="s">
        <v>758</v>
      </c>
      <c r="B73">
        <v>1000000</v>
      </c>
      <c r="C73" t="s">
        <v>485</v>
      </c>
      <c r="D73" t="s">
        <v>420</v>
      </c>
      <c r="G73">
        <v>69</v>
      </c>
    </row>
    <row r="74" spans="1:7" hidden="1" x14ac:dyDescent="0.25">
      <c r="A74" t="s">
        <v>760</v>
      </c>
      <c r="B74">
        <v>15000000</v>
      </c>
      <c r="C74" t="s">
        <v>469</v>
      </c>
      <c r="D74" t="s">
        <v>420</v>
      </c>
      <c r="G74">
        <v>70</v>
      </c>
    </row>
    <row r="75" spans="1:7" x14ac:dyDescent="0.25">
      <c r="A75" t="s">
        <v>886</v>
      </c>
      <c r="B75">
        <v>2500000</v>
      </c>
      <c r="C75" t="s">
        <v>438</v>
      </c>
      <c r="D75" t="s">
        <v>420</v>
      </c>
      <c r="G75" t="e">
        <v>#N/A</v>
      </c>
    </row>
    <row r="76" spans="1:7" hidden="1" x14ac:dyDescent="0.25">
      <c r="A76" t="s">
        <v>761</v>
      </c>
      <c r="B76">
        <v>1000000</v>
      </c>
      <c r="C76" t="s">
        <v>438</v>
      </c>
      <c r="D76" t="s">
        <v>420</v>
      </c>
      <c r="G76">
        <v>71</v>
      </c>
    </row>
    <row r="77" spans="1:7" hidden="1" x14ac:dyDescent="0.25">
      <c r="A77" t="s">
        <v>889</v>
      </c>
      <c r="B77">
        <v>4000000</v>
      </c>
      <c r="C77" t="s">
        <v>449</v>
      </c>
      <c r="D77" t="s">
        <v>420</v>
      </c>
      <c r="G77">
        <v>34</v>
      </c>
    </row>
    <row r="78" spans="1:7" hidden="1" x14ac:dyDescent="0.25">
      <c r="A78" t="s">
        <v>890</v>
      </c>
      <c r="B78">
        <v>700000</v>
      </c>
      <c r="C78" t="s">
        <v>469</v>
      </c>
      <c r="D78" t="s">
        <v>420</v>
      </c>
      <c r="G78">
        <v>68</v>
      </c>
    </row>
    <row r="79" spans="1:7" hidden="1" x14ac:dyDescent="0.25">
      <c r="A79" t="s">
        <v>741</v>
      </c>
      <c r="B79">
        <v>4000000</v>
      </c>
      <c r="C79" t="s">
        <v>485</v>
      </c>
      <c r="D79" t="s">
        <v>420</v>
      </c>
      <c r="G79">
        <v>35</v>
      </c>
    </row>
    <row r="80" spans="1:7" hidden="1" x14ac:dyDescent="0.25">
      <c r="A80" t="s">
        <v>892</v>
      </c>
      <c r="B80">
        <v>2800000</v>
      </c>
      <c r="C80" t="s">
        <v>891</v>
      </c>
      <c r="D80" t="s">
        <v>420</v>
      </c>
      <c r="G80">
        <v>36</v>
      </c>
    </row>
    <row r="81" spans="1:7" hidden="1" x14ac:dyDescent="0.25">
      <c r="A81" t="s">
        <v>755</v>
      </c>
      <c r="B81">
        <v>2000000</v>
      </c>
      <c r="C81" t="s">
        <v>469</v>
      </c>
      <c r="D81" t="s">
        <v>420</v>
      </c>
      <c r="G81">
        <v>67</v>
      </c>
    </row>
    <row r="82" spans="1:7" hidden="1" x14ac:dyDescent="0.25">
      <c r="A82" t="s">
        <v>893</v>
      </c>
      <c r="B82">
        <v>1000000</v>
      </c>
      <c r="C82" t="s">
        <v>469</v>
      </c>
      <c r="D82" t="s">
        <v>420</v>
      </c>
      <c r="G82">
        <v>33</v>
      </c>
    </row>
    <row r="83" spans="1:7" hidden="1" x14ac:dyDescent="0.25">
      <c r="A83" t="s">
        <v>763</v>
      </c>
      <c r="B83">
        <v>25300000</v>
      </c>
      <c r="C83" t="s">
        <v>485</v>
      </c>
      <c r="D83" t="s">
        <v>420</v>
      </c>
      <c r="G83">
        <v>73</v>
      </c>
    </row>
    <row r="84" spans="1:7" x14ac:dyDescent="0.25">
      <c r="A84" t="s">
        <v>1026</v>
      </c>
      <c r="B84">
        <v>9000000</v>
      </c>
      <c r="C84" t="s">
        <v>485</v>
      </c>
      <c r="D84" t="s">
        <v>420</v>
      </c>
      <c r="G84" t="e">
        <v>#N/A</v>
      </c>
    </row>
    <row r="85" spans="1:7" hidden="1" x14ac:dyDescent="0.25">
      <c r="A85" t="s">
        <v>901</v>
      </c>
      <c r="B85">
        <v>1500000</v>
      </c>
      <c r="C85" t="s">
        <v>485</v>
      </c>
      <c r="D85" t="s">
        <v>420</v>
      </c>
      <c r="G85">
        <v>20</v>
      </c>
    </row>
    <row r="86" spans="1:7" hidden="1" x14ac:dyDescent="0.25">
      <c r="A86" t="s">
        <v>742</v>
      </c>
      <c r="B86">
        <v>1000000</v>
      </c>
      <c r="C86" t="s">
        <v>449</v>
      </c>
      <c r="D86" t="s">
        <v>420</v>
      </c>
      <c r="G86">
        <v>37</v>
      </c>
    </row>
    <row r="87" spans="1:7" hidden="1" x14ac:dyDescent="0.25">
      <c r="A87" t="s">
        <v>902</v>
      </c>
      <c r="B87">
        <v>15000000</v>
      </c>
      <c r="C87" t="s">
        <v>449</v>
      </c>
      <c r="D87" t="s">
        <v>420</v>
      </c>
      <c r="G87">
        <v>38</v>
      </c>
    </row>
    <row r="88" spans="1:7" x14ac:dyDescent="0.25">
      <c r="A88" t="s">
        <v>905</v>
      </c>
      <c r="B88">
        <v>1000000</v>
      </c>
      <c r="C88" t="s">
        <v>485</v>
      </c>
      <c r="D88" t="s">
        <v>420</v>
      </c>
      <c r="G88" t="e">
        <v>#N/A</v>
      </c>
    </row>
    <row r="89" spans="1:7" hidden="1" x14ac:dyDescent="0.25">
      <c r="A89" t="s">
        <v>747</v>
      </c>
      <c r="B89">
        <v>1500000</v>
      </c>
      <c r="C89" t="s">
        <v>464</v>
      </c>
      <c r="D89" t="s">
        <v>420</v>
      </c>
      <c r="G89">
        <v>40</v>
      </c>
    </row>
    <row r="90" spans="1:7" hidden="1" x14ac:dyDescent="0.25">
      <c r="A90" t="s">
        <v>754</v>
      </c>
      <c r="B90">
        <v>6000000</v>
      </c>
      <c r="C90" t="s">
        <v>469</v>
      </c>
      <c r="D90" t="s">
        <v>420</v>
      </c>
      <c r="G90">
        <v>66</v>
      </c>
    </row>
    <row r="91" spans="1:7" x14ac:dyDescent="0.25">
      <c r="A91" t="s">
        <v>909</v>
      </c>
      <c r="B91">
        <v>5000000</v>
      </c>
      <c r="C91" t="s">
        <v>469</v>
      </c>
      <c r="D91" t="s">
        <v>420</v>
      </c>
      <c r="G91" t="e">
        <v>#N/A</v>
      </c>
    </row>
    <row r="92" spans="1:7" x14ac:dyDescent="0.25">
      <c r="A92" t="s">
        <v>910</v>
      </c>
      <c r="B92">
        <v>17000000</v>
      </c>
      <c r="C92" t="s">
        <v>469</v>
      </c>
      <c r="D92" t="s">
        <v>420</v>
      </c>
      <c r="G92" t="e">
        <v>#N/A</v>
      </c>
    </row>
    <row r="93" spans="1:7" hidden="1" x14ac:dyDescent="0.25">
      <c r="A93" t="s">
        <v>750</v>
      </c>
      <c r="B93">
        <v>4000000</v>
      </c>
      <c r="C93" t="s">
        <v>469</v>
      </c>
      <c r="D93" t="s">
        <v>420</v>
      </c>
      <c r="G93">
        <v>63</v>
      </c>
    </row>
    <row r="94" spans="1:7" x14ac:dyDescent="0.25">
      <c r="A94" t="s">
        <v>1022</v>
      </c>
      <c r="B94">
        <v>8000000</v>
      </c>
      <c r="C94" t="s">
        <v>469</v>
      </c>
      <c r="D94" t="s">
        <v>420</v>
      </c>
      <c r="G94" t="e">
        <v>#N/A</v>
      </c>
    </row>
    <row r="95" spans="1:7" x14ac:dyDescent="0.25">
      <c r="A95" t="s">
        <v>913</v>
      </c>
      <c r="B95">
        <v>12000000</v>
      </c>
      <c r="C95" t="s">
        <v>469</v>
      </c>
      <c r="D95" t="s">
        <v>420</v>
      </c>
      <c r="G95" t="e">
        <v>#N/A</v>
      </c>
    </row>
    <row r="96" spans="1:7" x14ac:dyDescent="0.25">
      <c r="A96" t="s">
        <v>914</v>
      </c>
      <c r="B96">
        <v>3500000</v>
      </c>
      <c r="C96" t="s">
        <v>469</v>
      </c>
      <c r="D96" t="s">
        <v>420</v>
      </c>
      <c r="G96" t="e">
        <v>#N/A</v>
      </c>
    </row>
    <row r="97" spans="1:7" x14ac:dyDescent="0.25">
      <c r="A97" t="s">
        <v>915</v>
      </c>
      <c r="B97">
        <v>20000000</v>
      </c>
      <c r="C97" t="s">
        <v>469</v>
      </c>
      <c r="D97" t="s">
        <v>420</v>
      </c>
      <c r="G97" t="e">
        <v>#N/A</v>
      </c>
    </row>
    <row r="98" spans="1:7" x14ac:dyDescent="0.25">
      <c r="A98" t="s">
        <v>1023</v>
      </c>
      <c r="B98">
        <v>1500000</v>
      </c>
      <c r="C98" t="s">
        <v>469</v>
      </c>
      <c r="D98" t="s">
        <v>420</v>
      </c>
      <c r="G98" t="e">
        <v>#N/A</v>
      </c>
    </row>
    <row r="99" spans="1:7" x14ac:dyDescent="0.25">
      <c r="A99" t="s">
        <v>917</v>
      </c>
      <c r="B99">
        <v>32000000</v>
      </c>
      <c r="C99" t="s">
        <v>469</v>
      </c>
      <c r="D99" t="s">
        <v>420</v>
      </c>
      <c r="G99" t="e">
        <v>#N/A</v>
      </c>
    </row>
    <row r="100" spans="1:7" x14ac:dyDescent="0.25">
      <c r="A100" t="s">
        <v>918</v>
      </c>
      <c r="B100">
        <v>14500000</v>
      </c>
      <c r="C100" t="s">
        <v>469</v>
      </c>
      <c r="D100" t="s">
        <v>420</v>
      </c>
      <c r="G100" t="e">
        <v>#N/A</v>
      </c>
    </row>
    <row r="101" spans="1:7" x14ac:dyDescent="0.25">
      <c r="A101" t="s">
        <v>919</v>
      </c>
      <c r="B101">
        <v>2000000</v>
      </c>
      <c r="C101" t="s">
        <v>469</v>
      </c>
      <c r="D101" t="s">
        <v>420</v>
      </c>
      <c r="G101" t="e">
        <v>#N/A</v>
      </c>
    </row>
    <row r="102" spans="1:7" hidden="1" x14ac:dyDescent="0.25">
      <c r="A102" t="s">
        <v>752</v>
      </c>
      <c r="B102">
        <v>2500000</v>
      </c>
      <c r="C102" t="s">
        <v>469</v>
      </c>
      <c r="D102" t="s">
        <v>420</v>
      </c>
      <c r="G102">
        <v>65</v>
      </c>
    </row>
    <row r="103" spans="1:7" x14ac:dyDescent="0.25">
      <c r="A103" t="s">
        <v>1024</v>
      </c>
      <c r="B103">
        <v>2500000</v>
      </c>
      <c r="C103" t="s">
        <v>469</v>
      </c>
      <c r="D103" t="s">
        <v>420</v>
      </c>
      <c r="G103" t="e">
        <v>#N/A</v>
      </c>
    </row>
  </sheetData>
  <autoFilter ref="G60:G103">
    <filterColumn colId="0">
      <filters>
        <filter val="#N/A"/>
      </filters>
    </filterColumn>
  </autoFilter>
  <sortState ref="D1:D57">
    <sortCondition ref="D1:D57"/>
  </sortState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2"/>
  <sheetViews>
    <sheetView topLeftCell="D10" workbookViewId="0">
      <selection activeCell="D23" sqref="D23"/>
    </sheetView>
  </sheetViews>
  <sheetFormatPr defaultRowHeight="15" x14ac:dyDescent="0.25"/>
  <cols>
    <col min="1" max="1" width="98.28515625" style="114" hidden="1" customWidth="1"/>
    <col min="2" max="2" width="5.28515625" style="114" hidden="1" customWidth="1"/>
    <col min="3" max="3" width="14.5703125" style="368" customWidth="1"/>
    <col min="4" max="4" width="106" style="114" bestFit="1" customWidth="1"/>
    <col min="5" max="5" width="17" style="114" customWidth="1"/>
    <col min="6" max="6" width="49.42578125" bestFit="1" customWidth="1"/>
    <col min="8" max="8" width="11.140625" bestFit="1" customWidth="1"/>
    <col min="9" max="9" width="11.140625" customWidth="1"/>
    <col min="11" max="12" width="12.28515625" bestFit="1" customWidth="1"/>
    <col min="13" max="13" width="14.5703125" bestFit="1" customWidth="1"/>
    <col min="14" max="14" width="14.85546875" style="510" bestFit="1" customWidth="1"/>
    <col min="15" max="15" width="14.85546875" bestFit="1" customWidth="1"/>
    <col min="16" max="70" width="98.140625" bestFit="1" customWidth="1"/>
    <col min="71" max="71" width="11.28515625" bestFit="1" customWidth="1"/>
    <col min="72" max="72" width="10.28515625" customWidth="1"/>
    <col min="73" max="79" width="98.140625" bestFit="1" customWidth="1"/>
    <col min="80" max="80" width="10" bestFit="1" customWidth="1"/>
    <col min="81" max="81" width="11.28515625" bestFit="1" customWidth="1"/>
  </cols>
  <sheetData>
    <row r="1" spans="1:14" x14ac:dyDescent="0.25">
      <c r="A1" s="355"/>
      <c r="B1" s="355"/>
      <c r="C1" s="368" t="s">
        <v>1015</v>
      </c>
      <c r="D1" s="114" t="s">
        <v>1016</v>
      </c>
      <c r="E1" s="114" t="s">
        <v>956</v>
      </c>
      <c r="F1" t="s">
        <v>1017</v>
      </c>
      <c r="G1" t="s">
        <v>1018</v>
      </c>
      <c r="H1" t="s">
        <v>1147</v>
      </c>
      <c r="I1" t="s">
        <v>1148</v>
      </c>
    </row>
    <row r="2" spans="1:14" x14ac:dyDescent="0.25">
      <c r="A2" s="355"/>
      <c r="B2" s="355"/>
      <c r="C2" s="494" t="s">
        <v>469</v>
      </c>
      <c r="D2" s="495" t="s">
        <v>1131</v>
      </c>
      <c r="E2" s="356">
        <f>+INDEX(MapaX!I:I,MATCH(Table2[[#This Row],[Nome]],MapaX!D:D,0))</f>
        <v>2100000</v>
      </c>
      <c r="G2">
        <v>11</v>
      </c>
      <c r="H2" t="e">
        <f ca="1">_xlfn.XLOOKUP(Table2[[#This Row],[Nome]],MapaX!D:D,MapaX!I:I)</f>
        <v>#NAME?</v>
      </c>
      <c r="I2" t="str">
        <f>LEFT(Table2[[#This Row],[Rubrica]],5)</f>
        <v>03.01</v>
      </c>
      <c r="J2">
        <f>+MATCH(Table2[[#This Row],[Nome]],MapaX!D:D,0)</f>
        <v>21</v>
      </c>
    </row>
    <row r="3" spans="1:14" x14ac:dyDescent="0.25">
      <c r="A3" s="359"/>
      <c r="B3" s="359"/>
      <c r="C3" s="494" t="s">
        <v>500</v>
      </c>
      <c r="D3" s="496" t="s">
        <v>1136</v>
      </c>
      <c r="E3" s="356">
        <f>+INDEX(MapaX!I:I,MATCH(Table2[[#This Row],[Nome]],MapaX!D:D,0))</f>
        <v>500000</v>
      </c>
      <c r="G3">
        <v>4</v>
      </c>
      <c r="H3" t="e">
        <f ca="1">_xlfn.XLOOKUP(Table2[[#This Row],[Nome]],MapaX!D:D,MapaX!I:I)</f>
        <v>#NAME?</v>
      </c>
      <c r="I3" t="str">
        <f>LEFT(Table2[[#This Row],[Rubrica]],5)</f>
        <v>03.01</v>
      </c>
      <c r="J3">
        <f>+MATCH(Table2[[#This Row],[Nome]],MapaX!D:D,0)</f>
        <v>25</v>
      </c>
    </row>
    <row r="4" spans="1:14" x14ac:dyDescent="0.25">
      <c r="A4" s="354"/>
      <c r="B4" s="354"/>
      <c r="C4" s="497" t="s">
        <v>433</v>
      </c>
      <c r="D4" s="497" t="s">
        <v>853</v>
      </c>
      <c r="E4" s="356">
        <f>+INDEX(MapaX!I:I,MATCH(Table2[[#This Row],[Nome]],MapaX!D:D,0))</f>
        <v>150000</v>
      </c>
      <c r="G4">
        <v>9</v>
      </c>
      <c r="H4" t="e">
        <f ca="1">_xlfn.XLOOKUP(Table2[[#This Row],[Nome]],MapaX!D:D,MapaX!I:I)</f>
        <v>#NAME?</v>
      </c>
      <c r="I4" t="str">
        <f>LEFT(Table2[[#This Row],[Rubrica]],5)</f>
        <v>02.01</v>
      </c>
      <c r="J4">
        <f>+MATCH(Table2[[#This Row],[Nome]],MapaX!D:D,0)</f>
        <v>31</v>
      </c>
    </row>
    <row r="5" spans="1:14" x14ac:dyDescent="0.25">
      <c r="A5" s="359"/>
      <c r="B5" s="359"/>
      <c r="C5" s="494" t="s">
        <v>449</v>
      </c>
      <c r="D5" s="497" t="s">
        <v>773</v>
      </c>
      <c r="E5" s="356">
        <f>+INDEX(MapaX!I:I,MATCH(Table2[[#This Row],[Nome]],MapaX!D:D,0))</f>
        <v>110000</v>
      </c>
      <c r="G5">
        <v>14</v>
      </c>
      <c r="H5" t="e">
        <f ca="1">_xlfn.XLOOKUP(Table2[[#This Row],[Nome]],MapaX!D:D,MapaX!I:I)</f>
        <v>#NAME?</v>
      </c>
      <c r="I5" t="str">
        <f>LEFT(Table2[[#This Row],[Rubrica]],5)</f>
        <v>02.08</v>
      </c>
      <c r="J5">
        <f>+MATCH(Table2[[#This Row],[Nome]],MapaX!D:D,0)</f>
        <v>35</v>
      </c>
      <c r="N5"/>
    </row>
    <row r="6" spans="1:14" x14ac:dyDescent="0.25">
      <c r="A6" s="359"/>
      <c r="B6" s="359"/>
      <c r="C6" s="497" t="s">
        <v>449</v>
      </c>
      <c r="D6" s="496" t="s">
        <v>1040</v>
      </c>
      <c r="E6" s="356">
        <f>+INDEX(MapaX!I:I,MATCH(Table2[[#This Row],[Nome]],MapaX!D:D,0))</f>
        <v>1010000</v>
      </c>
      <c r="G6">
        <v>5</v>
      </c>
      <c r="H6" t="e">
        <f ca="1">_xlfn.XLOOKUP(Table2[[#This Row],[Nome]],MapaX!D:D,MapaX!I:I)</f>
        <v>#NAME?</v>
      </c>
      <c r="I6" t="str">
        <f>LEFT(Table2[[#This Row],[Rubrica]],5)</f>
        <v>02.08</v>
      </c>
      <c r="J6">
        <f>+MATCH(Table2[[#This Row],[Nome]],MapaX!D:D,0)</f>
        <v>36</v>
      </c>
      <c r="N6"/>
    </row>
    <row r="7" spans="1:14" x14ac:dyDescent="0.25">
      <c r="A7" s="359"/>
      <c r="B7" s="359"/>
      <c r="C7" s="497" t="s">
        <v>449</v>
      </c>
      <c r="D7" s="496" t="s">
        <v>778</v>
      </c>
      <c r="E7" s="356">
        <f>+INDEX(MapaX!I:I,MATCH(Table2[[#This Row],[Nome]],MapaX!D:D,0))</f>
        <v>6000000</v>
      </c>
      <c r="G7">
        <v>11</v>
      </c>
      <c r="H7" t="e">
        <f ca="1">_xlfn.XLOOKUP(Table2[[#This Row],[Nome]],MapaX!D:D,MapaX!I:I)</f>
        <v>#NAME?</v>
      </c>
      <c r="I7" t="str">
        <f>LEFT(Table2[[#This Row],[Rubrica]],5)</f>
        <v>02.08</v>
      </c>
      <c r="J7">
        <f>+MATCH(Table2[[#This Row],[Nome]],MapaX!D:D,0)</f>
        <v>38</v>
      </c>
      <c r="N7"/>
    </row>
    <row r="8" spans="1:14" x14ac:dyDescent="0.25">
      <c r="A8" s="359"/>
      <c r="B8" s="359"/>
      <c r="C8" s="497" t="s">
        <v>449</v>
      </c>
      <c r="D8" s="496" t="s">
        <v>776</v>
      </c>
      <c r="E8" s="356">
        <f>+INDEX(MapaX!I:I,MATCH(Table2[[#This Row],[Nome]],MapaX!D:D,0))</f>
        <v>700000</v>
      </c>
      <c r="G8">
        <v>11</v>
      </c>
      <c r="H8" t="e">
        <f ca="1">_xlfn.XLOOKUP(Table2[[#This Row],[Nome]],MapaX!D:D,MapaX!I:I)</f>
        <v>#NAME?</v>
      </c>
      <c r="I8" t="str">
        <f>LEFT(Table2[[#This Row],[Rubrica]],5)</f>
        <v>02.08</v>
      </c>
      <c r="J8">
        <f>+MATCH(Table2[[#This Row],[Nome]],MapaX!D:D,0)</f>
        <v>40</v>
      </c>
      <c r="N8"/>
    </row>
    <row r="9" spans="1:14" x14ac:dyDescent="0.25">
      <c r="A9" s="359"/>
      <c r="B9" s="359"/>
      <c r="C9" s="497" t="s">
        <v>469</v>
      </c>
      <c r="D9" s="496" t="s">
        <v>1027</v>
      </c>
      <c r="E9" s="356">
        <f>+INDEX(MapaX!I:I,MATCH(Table2[[#This Row],[Nome]],MapaX!D:D,0))</f>
        <v>1500000</v>
      </c>
      <c r="G9">
        <v>11</v>
      </c>
      <c r="H9" t="e">
        <f ca="1">_xlfn.XLOOKUP(Table2[[#This Row],[Nome]],MapaX!D:D,MapaX!I:I)</f>
        <v>#NAME?</v>
      </c>
      <c r="I9" t="str">
        <f>LEFT(Table2[[#This Row],[Rubrica]],5)</f>
        <v>03.01</v>
      </c>
      <c r="J9">
        <f>+MATCH(Table2[[#This Row],[Nome]],MapaX!D:D,0)</f>
        <v>43</v>
      </c>
      <c r="N9"/>
    </row>
    <row r="10" spans="1:14" x14ac:dyDescent="0.25">
      <c r="A10" s="359"/>
      <c r="B10" s="359"/>
      <c r="C10" s="497" t="s">
        <v>469</v>
      </c>
      <c r="D10" s="496" t="s">
        <v>1150</v>
      </c>
      <c r="E10" s="356">
        <f>+INDEX(MapaX!I:I,MATCH(Table2[[#This Row],[Nome]],MapaX!D:D,0))</f>
        <v>20000000</v>
      </c>
      <c r="G10">
        <v>11</v>
      </c>
      <c r="H10" t="e">
        <f ca="1">_xlfn.XLOOKUP(Table2[[#This Row],[Nome]],MapaX!D:D,MapaX!I:I)</f>
        <v>#NAME?</v>
      </c>
      <c r="I10" t="str">
        <f>LEFT(Table2[[#This Row],[Rubrica]],5)</f>
        <v>03.01</v>
      </c>
      <c r="N10"/>
    </row>
    <row r="11" spans="1:14" x14ac:dyDescent="0.25">
      <c r="A11" s="359"/>
      <c r="B11" s="359"/>
      <c r="C11" s="497" t="s">
        <v>469</v>
      </c>
      <c r="D11" s="496" t="s">
        <v>861</v>
      </c>
      <c r="E11" s="356">
        <f>+INDEX(MapaX!I:I,MATCH(Table2[[#This Row],[Nome]],MapaX!D:D,0))</f>
        <v>2000000</v>
      </c>
      <c r="G11">
        <v>11</v>
      </c>
      <c r="H11" t="e">
        <f ca="1">_xlfn.XLOOKUP(Table2[[#This Row],[Nome]],MapaX!D:D,MapaX!I:I)</f>
        <v>#NAME?</v>
      </c>
      <c r="I11" t="str">
        <f>LEFT(Table2[[#This Row],[Rubrica]],5)</f>
        <v>03.01</v>
      </c>
      <c r="J11">
        <f>+MATCH(Table2[[#This Row],[Nome]],MapaX!D:D,0)</f>
        <v>44</v>
      </c>
      <c r="N11"/>
    </row>
    <row r="12" spans="1:14" x14ac:dyDescent="0.25">
      <c r="A12" s="359"/>
      <c r="B12" s="359"/>
      <c r="C12" s="497" t="s">
        <v>469</v>
      </c>
      <c r="D12" s="496" t="s">
        <v>1021</v>
      </c>
      <c r="E12" s="356">
        <f>+INDEX(MapaX!I:I,MATCH(Table2[[#This Row],[Nome]],MapaX!D:D,0))</f>
        <v>3000000</v>
      </c>
      <c r="G12">
        <v>7</v>
      </c>
      <c r="H12" t="e">
        <f ca="1">_xlfn.XLOOKUP(Table2[[#This Row],[Nome]],MapaX!D:D,MapaX!I:I)</f>
        <v>#NAME?</v>
      </c>
      <c r="I12" t="str">
        <f>LEFT(Table2[[#This Row],[Rubrica]],5)</f>
        <v>03.01</v>
      </c>
      <c r="J12">
        <f>+MATCH(Table2[[#This Row],[Nome]],MapaX!D:D,0)</f>
        <v>45</v>
      </c>
      <c r="N12"/>
    </row>
    <row r="13" spans="1:14" x14ac:dyDescent="0.25">
      <c r="A13" s="359"/>
      <c r="B13" s="359"/>
      <c r="C13" s="498" t="s">
        <v>449</v>
      </c>
      <c r="D13" s="499" t="s">
        <v>866</v>
      </c>
      <c r="E13" s="360">
        <f>+INDEX(MapaX!I:I,MATCH(Table2[[#This Row],[Nome]],MapaX!D:D,0))</f>
        <v>1800000</v>
      </c>
      <c r="G13">
        <v>7</v>
      </c>
      <c r="H13" t="e">
        <f ca="1">_xlfn.XLOOKUP(Table2[[#This Row],[Nome]],MapaX!D:D,MapaX!I:I)</f>
        <v>#NAME?</v>
      </c>
      <c r="I13" t="str">
        <f>LEFT(Table2[[#This Row],[Rubrica]],5)</f>
        <v>02.08</v>
      </c>
      <c r="J13">
        <f>+MATCH(Table2[[#This Row],[Nome]],MapaX!D:D,0)</f>
        <v>48</v>
      </c>
      <c r="N13"/>
    </row>
    <row r="14" spans="1:14" x14ac:dyDescent="0.25">
      <c r="A14" s="359"/>
      <c r="B14" s="359"/>
      <c r="C14" s="497" t="s">
        <v>449</v>
      </c>
      <c r="D14" s="496" t="s">
        <v>867</v>
      </c>
      <c r="E14" s="356">
        <f>+INDEX(MapaX!I:I,MATCH(Table2[[#This Row],[Nome]],MapaX!D:D,0))</f>
        <v>500000</v>
      </c>
      <c r="G14">
        <v>7</v>
      </c>
      <c r="H14" t="e">
        <f ca="1">_xlfn.XLOOKUP(Table2[[#This Row],[Nome]],MapaX!D:D,MapaX!I:I)</f>
        <v>#NAME?</v>
      </c>
      <c r="I14" t="str">
        <f>LEFT(Table2[[#This Row],[Rubrica]],5)</f>
        <v>02.08</v>
      </c>
      <c r="J14">
        <f>+MATCH(Table2[[#This Row],[Nome]],MapaX!D:D,0)</f>
        <v>49</v>
      </c>
      <c r="N14"/>
    </row>
    <row r="15" spans="1:14" x14ac:dyDescent="0.25">
      <c r="A15" s="359"/>
      <c r="B15" s="359"/>
      <c r="C15" s="497" t="s">
        <v>449</v>
      </c>
      <c r="D15" s="496" t="s">
        <v>770</v>
      </c>
      <c r="E15" s="356">
        <f>+INDEX(MapaX!I:I,MATCH(Table2[[#This Row],[Nome]],MapaX!D:D,0))</f>
        <v>5500000</v>
      </c>
      <c r="G15">
        <v>11</v>
      </c>
      <c r="H15" t="e">
        <f ca="1">_xlfn.XLOOKUP(Table2[[#This Row],[Nome]],MapaX!D:D,MapaX!I:I)</f>
        <v>#NAME?</v>
      </c>
      <c r="I15" t="str">
        <f>LEFT(Table2[[#This Row],[Rubrica]],5)</f>
        <v>02.08</v>
      </c>
      <c r="J15">
        <f>+MATCH(Table2[[#This Row],[Nome]],MapaX!D:D,0)</f>
        <v>52</v>
      </c>
      <c r="N15"/>
    </row>
    <row r="16" spans="1:14" x14ac:dyDescent="0.25">
      <c r="A16" s="359"/>
      <c r="B16" s="359"/>
      <c r="C16" s="497" t="s">
        <v>445</v>
      </c>
      <c r="D16" s="496" t="s">
        <v>872</v>
      </c>
      <c r="E16" s="356">
        <f>+INDEX(MapaX!I:I,MATCH(Table2[[#This Row],[Nome]],MapaX!D:D,0))</f>
        <v>200000</v>
      </c>
      <c r="G16">
        <v>11</v>
      </c>
      <c r="H16" t="e">
        <f ca="1">_xlfn.XLOOKUP(Table2[[#This Row],[Nome]],MapaX!D:D,MapaX!I:I)</f>
        <v>#NAME?</v>
      </c>
      <c r="I16" t="str">
        <f>LEFT(Table2[[#This Row],[Rubrica]],5)</f>
        <v>02.07</v>
      </c>
      <c r="J16">
        <f>+MATCH(Table2[[#This Row],[Nome]],MapaX!D:D,0)</f>
        <v>56</v>
      </c>
      <c r="N16"/>
    </row>
    <row r="17" spans="1:14" x14ac:dyDescent="0.25">
      <c r="A17" s="359"/>
      <c r="B17" s="359"/>
      <c r="C17" s="497" t="s">
        <v>445</v>
      </c>
      <c r="D17" s="496" t="s">
        <v>1137</v>
      </c>
      <c r="E17" s="356">
        <f>+INDEX(MapaX!I:I,MATCH(Table2[[#This Row],[Nome]],MapaX!D:D,0))</f>
        <v>2500000</v>
      </c>
      <c r="G17">
        <v>6</v>
      </c>
      <c r="H17" t="e">
        <f ca="1">_xlfn.XLOOKUP(Table2[[#This Row],[Nome]],MapaX!D:D,MapaX!I:I)</f>
        <v>#NAME?</v>
      </c>
      <c r="I17" t="str">
        <f>LEFT(Table2[[#This Row],[Rubrica]],5)</f>
        <v>02.07</v>
      </c>
      <c r="J17">
        <f>+MATCH(Table2[[#This Row],[Nome]],MapaX!D:D,0)</f>
        <v>57</v>
      </c>
      <c r="N17"/>
    </row>
    <row r="18" spans="1:14" x14ac:dyDescent="0.25">
      <c r="A18" s="359"/>
      <c r="B18" s="359"/>
      <c r="C18" s="497" t="s">
        <v>485</v>
      </c>
      <c r="D18" s="496" t="s">
        <v>875</v>
      </c>
      <c r="E18" s="356">
        <f>+INDEX(MapaX!I:I,MATCH(Table2[[#This Row],[Nome]],MapaX!D:D,0))</f>
        <v>3500000</v>
      </c>
      <c r="G18">
        <v>12</v>
      </c>
      <c r="H18" t="e">
        <f ca="1">_xlfn.XLOOKUP(Table2[[#This Row],[Nome]],MapaX!D:D,MapaX!I:I)</f>
        <v>#NAME?</v>
      </c>
      <c r="I18" t="str">
        <f>LEFT(Table2[[#This Row],[Rubrica]],5)</f>
        <v>03.01</v>
      </c>
      <c r="J18">
        <f>+MATCH(Table2[[#This Row],[Nome]],MapaX!D:D,0)</f>
        <v>60</v>
      </c>
      <c r="N18"/>
    </row>
    <row r="19" spans="1:14" x14ac:dyDescent="0.25">
      <c r="A19" s="359"/>
      <c r="B19" s="359"/>
      <c r="C19" s="497" t="s">
        <v>469</v>
      </c>
      <c r="D19" s="496" t="s">
        <v>877</v>
      </c>
      <c r="E19" s="356">
        <f>+INDEX(MapaX!I:I,MATCH(Table2[[#This Row],[Nome]],MapaX!D:D,0))</f>
        <v>1200000</v>
      </c>
      <c r="G19">
        <v>12</v>
      </c>
      <c r="H19" t="e">
        <f ca="1">_xlfn.XLOOKUP(Table2[[#This Row],[Nome]],MapaX!D:D,MapaX!I:I)</f>
        <v>#NAME?</v>
      </c>
      <c r="I19" t="str">
        <f>LEFT(Table2[[#This Row],[Rubrica]],5)</f>
        <v>03.01</v>
      </c>
      <c r="J19">
        <f>+MATCH(Table2[[#This Row],[Nome]],MapaX!D:D,0)</f>
        <v>63</v>
      </c>
      <c r="N19"/>
    </row>
    <row r="20" spans="1:14" x14ac:dyDescent="0.25">
      <c r="A20" s="359"/>
      <c r="B20" s="359"/>
      <c r="C20" s="494" t="s">
        <v>438</v>
      </c>
      <c r="D20" s="500" t="s">
        <v>1138</v>
      </c>
      <c r="E20" s="362">
        <f>+INDEX(MapaX!I:I,MATCH(Table2[[#This Row],[Nome]],MapaX!D:D,0))</f>
        <v>2000000</v>
      </c>
      <c r="G20">
        <v>8</v>
      </c>
      <c r="H20" t="e">
        <f ca="1">_xlfn.XLOOKUP(Table2[[#This Row],[Nome]],MapaX!D:D,MapaX!I:I)</f>
        <v>#NAME?</v>
      </c>
      <c r="I20" t="str">
        <f>LEFT(Table2[[#This Row],[Rubrica]],5)</f>
        <v>02.02</v>
      </c>
      <c r="J20">
        <f>+MATCH(Table2[[#This Row],[Nome]],MapaX!D:D,0)</f>
        <v>64</v>
      </c>
      <c r="N20"/>
    </row>
    <row r="21" spans="1:14" x14ac:dyDescent="0.25">
      <c r="A21" s="359"/>
      <c r="B21" s="359"/>
      <c r="C21" s="497" t="s">
        <v>469</v>
      </c>
      <c r="D21" s="496" t="s">
        <v>883</v>
      </c>
      <c r="E21" s="358">
        <f>+INDEX(MapaX!I:I,MATCH(Table2[[#This Row],[Nome]],MapaX!D:D,0))</f>
        <v>4000000</v>
      </c>
      <c r="G21">
        <v>9</v>
      </c>
      <c r="H21" t="e">
        <f ca="1">_xlfn.XLOOKUP(Table2[[#This Row],[Nome]],MapaX!D:D,MapaX!I:I)</f>
        <v>#NAME?</v>
      </c>
      <c r="I21" t="str">
        <f>LEFT(Table2[[#This Row],[Rubrica]],5)</f>
        <v>03.01</v>
      </c>
      <c r="J21">
        <f>+MATCH(Table2[[#This Row],[Nome]],MapaX!D:D,0)</f>
        <v>70</v>
      </c>
      <c r="N21"/>
    </row>
    <row r="22" spans="1:14" x14ac:dyDescent="0.25">
      <c r="A22" s="359"/>
      <c r="B22" s="359"/>
      <c r="C22" s="497" t="s">
        <v>485</v>
      </c>
      <c r="D22" s="496" t="s">
        <v>758</v>
      </c>
      <c r="E22" s="358">
        <f>+INDEX(MapaX!I:I,MATCH(Table2[[#This Row],[Nome]],MapaX!D:D,0))</f>
        <v>2300000</v>
      </c>
      <c r="G22">
        <v>9</v>
      </c>
      <c r="H22" t="e">
        <f ca="1">_xlfn.XLOOKUP(Table2[[#This Row],[Nome]],MapaX!D:D,MapaX!I:I)</f>
        <v>#NAME?</v>
      </c>
      <c r="I22" t="str">
        <f>LEFT(Table2[[#This Row],[Rubrica]],5)</f>
        <v>03.01</v>
      </c>
      <c r="J22">
        <f>+MATCH(Table2[[#This Row],[Nome]],MapaX!D:D,0)</f>
        <v>74</v>
      </c>
      <c r="N22"/>
    </row>
    <row r="23" spans="1:14" x14ac:dyDescent="0.25">
      <c r="A23" s="359"/>
      <c r="B23" s="359"/>
      <c r="C23" s="497" t="s">
        <v>469</v>
      </c>
      <c r="D23" s="496" t="s">
        <v>760</v>
      </c>
      <c r="E23" s="358">
        <f>+INDEX(MapaX!I:I,MATCH(Table2[[#This Row],[Nome]],MapaX!D:D,0))</f>
        <v>7000000</v>
      </c>
      <c r="G23">
        <v>23</v>
      </c>
      <c r="H23" t="e">
        <f ca="1">_xlfn.XLOOKUP(Table2[[#This Row],[Nome]],MapaX!D:D,MapaX!I:I)</f>
        <v>#NAME?</v>
      </c>
      <c r="I23" t="str">
        <f>LEFT(Table2[[#This Row],[Rubrica]],5)</f>
        <v>03.01</v>
      </c>
      <c r="J23">
        <f>+MATCH(Table2[[#This Row],[Nome]],MapaX!D:D,0)</f>
        <v>75</v>
      </c>
      <c r="L23" s="514" t="s">
        <v>1019</v>
      </c>
      <c r="M23" s="510"/>
      <c r="N23"/>
    </row>
    <row r="24" spans="1:14" x14ac:dyDescent="0.25">
      <c r="A24" s="354"/>
      <c r="B24" s="357"/>
      <c r="C24" s="497" t="s">
        <v>438</v>
      </c>
      <c r="D24" s="496" t="s">
        <v>886</v>
      </c>
      <c r="E24" s="358">
        <f>+INDEX(MapaX!I:I,MATCH(Table2[[#This Row],[Nome]],MapaX!D:D,0))</f>
        <v>2400000</v>
      </c>
      <c r="G24">
        <v>23</v>
      </c>
      <c r="H24" t="e">
        <f ca="1">_xlfn.XLOOKUP(Table2[[#This Row],[Nome]],MapaX!D:D,MapaX!I:I)</f>
        <v>#NAME?</v>
      </c>
      <c r="I24" t="str">
        <f>LEFT(Table2[[#This Row],[Rubrica]],5)</f>
        <v>02.02</v>
      </c>
      <c r="J24">
        <f>+MATCH(Table2[[#This Row],[Nome]],MapaX!D:D,0)</f>
        <v>76</v>
      </c>
      <c r="L24" s="514" t="s">
        <v>1148</v>
      </c>
      <c r="M24" t="s">
        <v>428</v>
      </c>
      <c r="N24"/>
    </row>
    <row r="25" spans="1:14" x14ac:dyDescent="0.25">
      <c r="A25" s="354"/>
      <c r="B25" s="357"/>
      <c r="C25" s="494" t="s">
        <v>438</v>
      </c>
      <c r="D25" s="496" t="s">
        <v>761</v>
      </c>
      <c r="E25" s="358">
        <f>+INDEX(MapaX!I:I,MATCH(Table2[[#This Row],[Nome]],MapaX!D:D,0))</f>
        <v>1700000</v>
      </c>
      <c r="G25">
        <v>23</v>
      </c>
      <c r="H25" t="e">
        <f ca="1">_xlfn.XLOOKUP(Table2[[#This Row],[Nome]],MapaX!D:D,MapaX!I:I)</f>
        <v>#NAME?</v>
      </c>
      <c r="I25" t="str">
        <f>LEFT(Table2[[#This Row],[Rubrica]],5)</f>
        <v>02.02</v>
      </c>
      <c r="J25">
        <f>+MATCH(Table2[[#This Row],[Nome]],MapaX!D:D,0)</f>
        <v>77</v>
      </c>
      <c r="L25" t="s">
        <v>423</v>
      </c>
      <c r="M25" s="510">
        <v>150000</v>
      </c>
      <c r="N25"/>
    </row>
    <row r="26" spans="1:14" x14ac:dyDescent="0.25">
      <c r="A26" s="354"/>
      <c r="B26" s="357"/>
      <c r="C26" s="497" t="s">
        <v>449</v>
      </c>
      <c r="D26" s="496" t="s">
        <v>1139</v>
      </c>
      <c r="E26" s="358">
        <f>+INDEX(MapaX!I:I,MATCH(Table2[[#This Row],[Nome]],MapaX!D:D,0))</f>
        <v>6500000</v>
      </c>
      <c r="G26">
        <v>23</v>
      </c>
      <c r="H26" t="e">
        <f ca="1">_xlfn.XLOOKUP(Table2[[#This Row],[Nome]],MapaX!D:D,MapaX!I:I)</f>
        <v>#NAME?</v>
      </c>
      <c r="I26" t="str">
        <f>LEFT(Table2[[#This Row],[Rubrica]],5)</f>
        <v>02.08</v>
      </c>
      <c r="J26">
        <f>+MATCH(Table2[[#This Row],[Nome]],MapaX!D:D,0)</f>
        <v>80</v>
      </c>
      <c r="L26" t="s">
        <v>490</v>
      </c>
      <c r="M26" s="510">
        <v>6100000</v>
      </c>
      <c r="N26"/>
    </row>
    <row r="27" spans="1:14" x14ac:dyDescent="0.25">
      <c r="A27" s="354"/>
      <c r="B27" s="357"/>
      <c r="C27" s="497" t="s">
        <v>469</v>
      </c>
      <c r="D27" s="496" t="s">
        <v>890</v>
      </c>
      <c r="E27" s="358">
        <f>+INDEX(MapaX!I:I,MATCH(Table2[[#This Row],[Nome]],MapaX!D:D,0))</f>
        <v>200000</v>
      </c>
      <c r="G27">
        <v>23</v>
      </c>
      <c r="H27" t="e">
        <f ca="1">_xlfn.XLOOKUP(Table2[[#This Row],[Nome]],MapaX!D:D,MapaX!I:I)</f>
        <v>#NAME?</v>
      </c>
      <c r="I27" t="str">
        <f>LEFT(Table2[[#This Row],[Rubrica]],5)</f>
        <v>03.01</v>
      </c>
      <c r="J27">
        <f>+MATCH(Table2[[#This Row],[Nome]],MapaX!D:D,0)</f>
        <v>81</v>
      </c>
      <c r="L27" t="s">
        <v>591</v>
      </c>
      <c r="M27" s="510">
        <v>2700000</v>
      </c>
      <c r="N27"/>
    </row>
    <row r="28" spans="1:14" x14ac:dyDescent="0.25">
      <c r="A28" s="359"/>
      <c r="B28" s="359"/>
      <c r="C28" s="497" t="s">
        <v>485</v>
      </c>
      <c r="D28" s="496" t="s">
        <v>741</v>
      </c>
      <c r="E28" s="358">
        <f>+INDEX(MapaX!I:I,MATCH(Table2[[#This Row],[Nome]],MapaX!D:D,0))</f>
        <v>4000000</v>
      </c>
      <c r="G28">
        <v>23</v>
      </c>
      <c r="H28" t="e">
        <f ca="1">_xlfn.XLOOKUP(Table2[[#This Row],[Nome]],MapaX!D:D,MapaX!I:I)</f>
        <v>#NAME?</v>
      </c>
      <c r="I28" t="str">
        <f>LEFT(Table2[[#This Row],[Rubrica]],5)</f>
        <v>03.01</v>
      </c>
      <c r="J28">
        <f>+MATCH(Table2[[#This Row],[Nome]],MapaX!D:D,0)</f>
        <v>82</v>
      </c>
      <c r="L28" t="s">
        <v>713</v>
      </c>
      <c r="M28" s="510">
        <v>25420000</v>
      </c>
      <c r="N28"/>
    </row>
    <row r="29" spans="1:14" x14ac:dyDescent="0.25">
      <c r="A29" s="359"/>
      <c r="B29" s="359"/>
      <c r="C29" s="497" t="s">
        <v>469</v>
      </c>
      <c r="D29" s="496" t="s">
        <v>893</v>
      </c>
      <c r="E29" s="361">
        <f>+INDEX(MapaX!I:I,MATCH(Table2[[#This Row],[Nome]],MapaX!D:D,0))</f>
        <v>4400000</v>
      </c>
      <c r="G29">
        <v>23</v>
      </c>
      <c r="H29" t="e">
        <f ca="1">_xlfn.XLOOKUP(Table2[[#This Row],[Nome]],MapaX!D:D,MapaX!I:I)</f>
        <v>#NAME?</v>
      </c>
      <c r="I29" t="str">
        <f>LEFT(Table2[[#This Row],[Rubrica]],5)</f>
        <v>03.01</v>
      </c>
      <c r="J29">
        <f>+MATCH(Table2[[#This Row],[Nome]],MapaX!D:D,0)</f>
        <v>85</v>
      </c>
      <c r="L29" t="s">
        <v>715</v>
      </c>
      <c r="M29" s="510">
        <v>240550000</v>
      </c>
      <c r="N29"/>
    </row>
    <row r="30" spans="1:14" x14ac:dyDescent="0.25">
      <c r="A30" s="359"/>
      <c r="B30" s="359"/>
      <c r="C30" s="498" t="s">
        <v>485</v>
      </c>
      <c r="D30" s="499" t="s">
        <v>1135</v>
      </c>
      <c r="E30" s="363">
        <f>+INDEX(MapaX!I:I,MATCH(Table2[[#This Row],[Nome]],MapaX!D:D,0))</f>
        <v>33000000</v>
      </c>
      <c r="G30">
        <v>23</v>
      </c>
      <c r="H30" t="e">
        <f ca="1">_xlfn.XLOOKUP(Table2[[#This Row],[Nome]],MapaX!D:D,MapaX!I:I)</f>
        <v>#NAME?</v>
      </c>
      <c r="I30" t="str">
        <f>LEFT(Table2[[#This Row],[Rubrica]],5)</f>
        <v>03.01</v>
      </c>
      <c r="J30">
        <f>+MATCH(Table2[[#This Row],[Nome]],MapaX!D:D,0)</f>
        <v>88</v>
      </c>
      <c r="L30" t="s">
        <v>7</v>
      </c>
      <c r="M30" s="510">
        <v>274920000</v>
      </c>
      <c r="N30"/>
    </row>
    <row r="31" spans="1:14" x14ac:dyDescent="0.25">
      <c r="A31" s="359"/>
      <c r="B31" s="359"/>
      <c r="C31" s="494" t="s">
        <v>485</v>
      </c>
      <c r="D31" s="496" t="s">
        <v>1140</v>
      </c>
      <c r="E31" s="361">
        <f>+INDEX(MapaX!I:I,MATCH(Table2[[#This Row],[Nome]],MapaX!D:D,0))</f>
        <v>4700000</v>
      </c>
      <c r="G31">
        <v>23</v>
      </c>
      <c r="H31" t="e">
        <f ca="1">_xlfn.XLOOKUP(Table2[[#This Row],[Nome]],MapaX!D:D,MapaX!I:I)</f>
        <v>#NAME?</v>
      </c>
      <c r="I31" t="str">
        <f>LEFT(Table2[[#This Row],[Rubrica]],5)</f>
        <v>03.01</v>
      </c>
      <c r="J31">
        <f>+MATCH(Table2[[#This Row],[Nome]],MapaX!D:D,0)</f>
        <v>89</v>
      </c>
      <c r="N31"/>
    </row>
    <row r="32" spans="1:14" x14ac:dyDescent="0.25">
      <c r="A32" s="359"/>
      <c r="B32" s="359"/>
      <c r="C32" s="501" t="s">
        <v>485</v>
      </c>
      <c r="D32" s="498" t="s">
        <v>901</v>
      </c>
      <c r="E32" s="361">
        <f>+INDEX(MapaX!I:I,MATCH(Table2[[#This Row],[Nome]],MapaX!D:D,0))</f>
        <v>650000</v>
      </c>
      <c r="G32">
        <v>23</v>
      </c>
      <c r="H32" t="e">
        <f ca="1">_xlfn.XLOOKUP(Table2[[#This Row],[Nome]],MapaX!D:D,MapaX!I:I)</f>
        <v>#NAME?</v>
      </c>
      <c r="I32" t="str">
        <f>LEFT(Table2[[#This Row],[Rubrica]],5)</f>
        <v>03.01</v>
      </c>
      <c r="J32">
        <f>+MATCH(Table2[[#This Row],[Nome]],MapaX!D:D,0)</f>
        <v>92</v>
      </c>
      <c r="N32"/>
    </row>
    <row r="33" spans="1:14" x14ac:dyDescent="0.25">
      <c r="A33" s="359"/>
      <c r="B33" s="359"/>
      <c r="C33" s="497" t="s">
        <v>449</v>
      </c>
      <c r="D33" s="496" t="s">
        <v>1134</v>
      </c>
      <c r="E33" s="361">
        <f>+INDEX(MapaX!I:I,MATCH(Table2[[#This Row],[Nome]],MapaX!D:D,0))</f>
        <v>2500000</v>
      </c>
      <c r="G33">
        <v>23</v>
      </c>
      <c r="H33" t="e">
        <f ca="1">_xlfn.XLOOKUP(Table2[[#This Row],[Nome]],MapaX!D:D,MapaX!I:I)</f>
        <v>#NAME?</v>
      </c>
      <c r="I33" t="str">
        <f>LEFT(Table2[[#This Row],[Rubrica]],5)</f>
        <v>02.08</v>
      </c>
      <c r="J33">
        <f>+MATCH(Table2[[#This Row],[Nome]],MapaX!D:D,0)</f>
        <v>93</v>
      </c>
      <c r="N33"/>
    </row>
    <row r="34" spans="1:14" x14ac:dyDescent="0.25">
      <c r="A34" s="364"/>
      <c r="B34" s="364"/>
      <c r="C34" s="502" t="s">
        <v>464</v>
      </c>
      <c r="D34" s="503" t="s">
        <v>747</v>
      </c>
      <c r="E34" s="366">
        <f>+INDEX(MapaX!I:I,MATCH(Table2[[#This Row],[Nome]],MapaX!D:D,0))</f>
        <v>1500000</v>
      </c>
      <c r="G34">
        <v>23</v>
      </c>
      <c r="H34" t="e">
        <f ca="1">_xlfn.XLOOKUP(Table2[[#This Row],[Nome]],MapaX!D:D,MapaX!I:I)</f>
        <v>#NAME?</v>
      </c>
      <c r="I34" t="str">
        <f>LEFT(Table2[[#This Row],[Rubrica]],5)</f>
        <v>03.01</v>
      </c>
      <c r="J34">
        <f>+MATCH(Table2[[#This Row],[Nome]],MapaX!D:D,0)</f>
        <v>100</v>
      </c>
    </row>
    <row r="35" spans="1:14" x14ac:dyDescent="0.25">
      <c r="A35" s="364"/>
      <c r="B35" s="364"/>
      <c r="C35" s="502" t="s">
        <v>469</v>
      </c>
      <c r="D35" s="503" t="s">
        <v>754</v>
      </c>
      <c r="E35" s="366">
        <f>+INDEX(MapaX!I:I,MATCH(Table2[[#This Row],[Nome]],MapaX!D:D,0))</f>
        <v>3000000</v>
      </c>
      <c r="G35">
        <v>23</v>
      </c>
      <c r="H35" t="e">
        <f ca="1">_xlfn.XLOOKUP(Table2[[#This Row],[Nome]],MapaX!D:D,MapaX!I:I)</f>
        <v>#NAME?</v>
      </c>
      <c r="I35" t="str">
        <f>LEFT(Table2[[#This Row],[Rubrica]],5)</f>
        <v>03.01</v>
      </c>
      <c r="J35">
        <f>+MATCH(Table2[[#This Row],[Nome]],MapaX!D:D,0)</f>
        <v>101</v>
      </c>
    </row>
    <row r="36" spans="1:14" x14ac:dyDescent="0.25">
      <c r="A36" s="364"/>
      <c r="B36" s="364"/>
      <c r="C36" s="504" t="s">
        <v>469</v>
      </c>
      <c r="D36" s="505" t="s">
        <v>1141</v>
      </c>
      <c r="E36" s="365">
        <f>+INDEX(MapaX!I:I,MATCH(Table2[[#This Row],[Nome]],MapaX!D:D,0))</f>
        <v>10000000</v>
      </c>
      <c r="G36">
        <v>23</v>
      </c>
      <c r="H36" t="e">
        <f ca="1">_xlfn.XLOOKUP(Table2[[#This Row],[Nome]],MapaX!D:D,MapaX!I:I)</f>
        <v>#NAME?</v>
      </c>
      <c r="I36" t="str">
        <f>LEFT(Table2[[#This Row],[Rubrica]],5)</f>
        <v>03.01</v>
      </c>
      <c r="J36">
        <f>+MATCH(Table2[[#This Row],[Nome]],MapaX!D:D,0)</f>
        <v>102</v>
      </c>
    </row>
    <row r="37" spans="1:14" x14ac:dyDescent="0.25">
      <c r="A37" s="364"/>
      <c r="B37" s="364"/>
      <c r="C37" s="506" t="s">
        <v>469</v>
      </c>
      <c r="D37" s="507" t="s">
        <v>1142</v>
      </c>
      <c r="E37" s="367">
        <f>+INDEX(MapaX!I:I,MATCH(Table2[[#This Row],[Nome]],MapaX!D:D,0))</f>
        <v>30000000</v>
      </c>
      <c r="G37">
        <v>23</v>
      </c>
      <c r="H37" t="e">
        <f ca="1">_xlfn.XLOOKUP(Table2[[#This Row],[Nome]],MapaX!D:D,MapaX!I:I)</f>
        <v>#NAME?</v>
      </c>
      <c r="I37" t="str">
        <f>LEFT(Table2[[#This Row],[Rubrica]],5)</f>
        <v>03.01</v>
      </c>
      <c r="J37">
        <f>+MATCH(Table2[[#This Row],[Nome]],MapaX!D:D,0)</f>
        <v>103</v>
      </c>
    </row>
    <row r="38" spans="1:14" x14ac:dyDescent="0.25">
      <c r="A38" s="364"/>
      <c r="B38" s="364"/>
      <c r="C38" s="508" t="s">
        <v>469</v>
      </c>
      <c r="D38" s="507" t="s">
        <v>750</v>
      </c>
      <c r="E38" s="365">
        <f>+INDEX(MapaX!I:I,MATCH(Table2[[#This Row],[Nome]],MapaX!D:D,0))</f>
        <v>2000000</v>
      </c>
      <c r="G38">
        <v>23</v>
      </c>
      <c r="H38" t="e">
        <f ca="1">_xlfn.XLOOKUP(Table2[[#This Row],[Nome]],MapaX!D:D,MapaX!I:I)</f>
        <v>#NAME?</v>
      </c>
      <c r="I38" t="str">
        <f>LEFT(Table2[[#This Row],[Rubrica]],5)</f>
        <v>03.01</v>
      </c>
      <c r="J38">
        <f>+MATCH(Table2[[#This Row],[Nome]],MapaX!D:D,0)</f>
        <v>104</v>
      </c>
    </row>
    <row r="39" spans="1:14" x14ac:dyDescent="0.25">
      <c r="A39" s="359"/>
      <c r="B39" s="359"/>
      <c r="C39" s="509" t="s">
        <v>469</v>
      </c>
      <c r="D39" s="505" t="s">
        <v>1143</v>
      </c>
      <c r="E39" s="365">
        <f>+INDEX(MapaX!I:I,MATCH(Table2[[#This Row],[Nome]],MapaX!D:D,0))</f>
        <v>5000000</v>
      </c>
      <c r="G39">
        <v>23</v>
      </c>
      <c r="H39" t="e">
        <f ca="1">_xlfn.XLOOKUP(Table2[[#This Row],[Nome]],MapaX!D:D,MapaX!I:I)</f>
        <v>#NAME?</v>
      </c>
      <c r="I39" t="str">
        <f>LEFT(Table2[[#This Row],[Rubrica]],5)</f>
        <v>03.01</v>
      </c>
      <c r="J39">
        <f>+MATCH(Table2[[#This Row],[Nome]],MapaX!D:D,0)</f>
        <v>105</v>
      </c>
    </row>
    <row r="40" spans="1:14" x14ac:dyDescent="0.25">
      <c r="A40" s="359"/>
      <c r="B40" s="359"/>
      <c r="C40" s="509" t="s">
        <v>469</v>
      </c>
      <c r="D40" s="500" t="s">
        <v>1144</v>
      </c>
      <c r="E40" s="358">
        <f>+INDEX(MapaX!I:I,MATCH(Table2[[#This Row],[Nome]],MapaX!D:D,0))</f>
        <v>5000000</v>
      </c>
      <c r="G40">
        <v>23</v>
      </c>
      <c r="H40" t="e">
        <f ca="1">_xlfn.XLOOKUP(Table2[[#This Row],[Nome]],MapaX!D:D,MapaX!I:I)</f>
        <v>#NAME?</v>
      </c>
      <c r="I40" t="str">
        <f>LEFT(Table2[[#This Row],[Rubrica]],5)</f>
        <v>03.01</v>
      </c>
      <c r="J40">
        <f>+MATCH(Table2[[#This Row],[Nome]],MapaX!D:D,0)</f>
        <v>106</v>
      </c>
    </row>
    <row r="41" spans="1:14" x14ac:dyDescent="0.25">
      <c r="A41" s="359"/>
      <c r="B41" s="359"/>
      <c r="C41" s="494" t="s">
        <v>469</v>
      </c>
      <c r="D41" s="496" t="s">
        <v>1149</v>
      </c>
      <c r="E41" s="358">
        <f>+INDEX(MapaX!I:I,MATCH(Table2[[#This Row],[Nome]],MapaX!D:D,0))</f>
        <v>4000000</v>
      </c>
      <c r="G41">
        <v>23</v>
      </c>
      <c r="H41" t="e">
        <f ca="1">_xlfn.XLOOKUP(Table2[[#This Row],[Nome]],MapaX!D:D,MapaX!I:I)</f>
        <v>#NAME?</v>
      </c>
      <c r="I41" t="str">
        <f>LEFT(Table2[[#This Row],[Rubrica]],5)</f>
        <v>03.01</v>
      </c>
      <c r="J41">
        <f>+MATCH(Table2[[#This Row],[Nome]],MapaX!D:D,0)</f>
        <v>112</v>
      </c>
    </row>
    <row r="42" spans="1:14" x14ac:dyDescent="0.25">
      <c r="A42" s="364"/>
      <c r="B42" s="364"/>
      <c r="C42" s="509" t="s">
        <v>469</v>
      </c>
      <c r="D42" s="505" t="s">
        <v>917</v>
      </c>
      <c r="E42" s="365">
        <f>+INDEX(MapaX!I:I,MATCH(Table2[[#This Row],[Nome]],MapaX!D:D,0))</f>
        <v>65000000</v>
      </c>
      <c r="G42">
        <v>23</v>
      </c>
      <c r="H42" t="e">
        <f ca="1">_xlfn.XLOOKUP(Table2[[#This Row],[Nome]],MapaX!D:D,MapaX!I:I)</f>
        <v>#NAME?</v>
      </c>
      <c r="I42" t="str">
        <f>LEFT(Table2[[#This Row],[Rubrica]],5)</f>
        <v>03.01</v>
      </c>
      <c r="J42">
        <f>+MATCH(Table2[[#This Row],[Nome]],MapaX!D:D,0)</f>
        <v>110</v>
      </c>
    </row>
    <row r="43" spans="1:14" x14ac:dyDescent="0.25">
      <c r="A43" s="359"/>
      <c r="B43" s="359"/>
      <c r="C43" s="509" t="s">
        <v>469</v>
      </c>
      <c r="D43" s="505" t="s">
        <v>1127</v>
      </c>
      <c r="E43" s="365">
        <f>+INDEX(MapaX!I:I,MATCH(Table2[[#This Row],[Nome]],MapaX!D:D,0))</f>
        <v>4000000</v>
      </c>
      <c r="G43">
        <v>23</v>
      </c>
      <c r="H43" t="e">
        <f ca="1">_xlfn.XLOOKUP(Table2[[#This Row],[Nome]],MapaX!D:D,MapaX!I:I)</f>
        <v>#NAME?</v>
      </c>
      <c r="I43" t="str">
        <f>LEFT(Table2[[#This Row],[Rubrica]],5)</f>
        <v>03.01</v>
      </c>
      <c r="J43">
        <f>+MATCH(Table2[[#This Row],[Nome]],MapaX!D:D,0)</f>
        <v>113</v>
      </c>
    </row>
    <row r="44" spans="1:14" x14ac:dyDescent="0.25">
      <c r="A44" s="364"/>
      <c r="B44" s="364"/>
      <c r="C44" s="509" t="s">
        <v>469</v>
      </c>
      <c r="D44" s="505" t="s">
        <v>784</v>
      </c>
      <c r="E44" s="365">
        <f>+INDEX(MapaX!I:I,MATCH(Table2[[#This Row],[Nome]],MapaX!D:D,0))</f>
        <v>17000000</v>
      </c>
      <c r="G44">
        <v>23</v>
      </c>
      <c r="H44" t="e">
        <f ca="1">_xlfn.XLOOKUP(Table2[[#This Row],[Nome]],MapaX!D:D,MapaX!I:I)</f>
        <v>#NAME?</v>
      </c>
      <c r="I44" t="str">
        <f>LEFT(Table2[[#This Row],[Rubrica]],5)</f>
        <v>03.01</v>
      </c>
      <c r="J44">
        <f>+MATCH(Table2[[#This Row],[Nome]],MapaX!D:D,0)</f>
        <v>119</v>
      </c>
    </row>
    <row r="45" spans="1:14" x14ac:dyDescent="0.25">
      <c r="A45" s="364"/>
      <c r="B45" s="364"/>
      <c r="C45" s="504" t="s">
        <v>449</v>
      </c>
      <c r="D45" s="505" t="s">
        <v>925</v>
      </c>
      <c r="E45" s="365">
        <f>+INDEX(MapaX!I:I,MATCH(Table2[[#This Row],[Nome]],MapaX!D:D,0))</f>
        <v>800000</v>
      </c>
      <c r="G45">
        <v>23</v>
      </c>
      <c r="H45" t="e">
        <f ca="1">_xlfn.XLOOKUP(Table2[[#This Row],[Nome]],MapaX!D:D,MapaX!I:I)</f>
        <v>#NAME?</v>
      </c>
      <c r="I45" t="str">
        <f>LEFT(Table2[[#This Row],[Rubrica]],5)</f>
        <v>02.08</v>
      </c>
      <c r="J45">
        <f>+MATCH(Table2[[#This Row],[Nome]],MapaX!D:D,0)</f>
        <v>122</v>
      </c>
    </row>
    <row r="46" spans="1:14" ht="15.75" x14ac:dyDescent="0.25">
      <c r="A46" s="330" t="s">
        <v>375</v>
      </c>
      <c r="B46" s="330"/>
      <c r="D46" s="370"/>
      <c r="E46" s="370"/>
    </row>
    <row r="47" spans="1:14" ht="15.75" x14ac:dyDescent="0.25">
      <c r="A47" s="373"/>
      <c r="B47" s="330"/>
      <c r="C47" s="330"/>
      <c r="D47" s="330"/>
      <c r="E47" s="330"/>
    </row>
    <row r="48" spans="1:14" ht="15.75" x14ac:dyDescent="0.25">
      <c r="A48" s="374" t="s">
        <v>376</v>
      </c>
      <c r="B48" s="374"/>
      <c r="C48" s="330"/>
      <c r="D48" s="330"/>
      <c r="E48" s="330"/>
    </row>
    <row r="49" spans="1:5" ht="15.75" x14ac:dyDescent="0.25">
      <c r="A49" s="375"/>
      <c r="B49" s="376"/>
      <c r="C49" s="374"/>
      <c r="D49" s="374"/>
      <c r="E49" s="374"/>
    </row>
    <row r="50" spans="1:5" ht="15.75" x14ac:dyDescent="0.25">
      <c r="A50" s="375" t="s">
        <v>377</v>
      </c>
      <c r="B50" s="375"/>
      <c r="C50" s="375"/>
      <c r="D50" s="375"/>
      <c r="E50" s="375"/>
    </row>
    <row r="51" spans="1:5" ht="15.75" x14ac:dyDescent="0.25">
      <c r="A51" s="271" t="s">
        <v>378</v>
      </c>
      <c r="B51" s="271"/>
      <c r="C51" s="375"/>
      <c r="D51" s="375"/>
      <c r="E51" s="375"/>
    </row>
    <row r="52" spans="1:5" ht="15.75" x14ac:dyDescent="0.25">
      <c r="A52" s="192"/>
      <c r="B52" s="192"/>
      <c r="C52" s="271"/>
      <c r="D52" s="271"/>
      <c r="E52" s="271"/>
    </row>
    <row r="53" spans="1:5" x14ac:dyDescent="0.25">
      <c r="C53" s="192"/>
      <c r="D53" s="192"/>
      <c r="E53" s="192"/>
    </row>
    <row r="54" spans="1:5" x14ac:dyDescent="0.25">
      <c r="D54" s="370"/>
      <c r="E54" s="370"/>
    </row>
    <row r="55" spans="1:5" x14ac:dyDescent="0.25">
      <c r="D55" s="378"/>
      <c r="E55" s="378"/>
    </row>
    <row r="56" spans="1:5" x14ac:dyDescent="0.25">
      <c r="D56" s="379"/>
      <c r="E56" s="379"/>
    </row>
    <row r="57" spans="1:5" x14ac:dyDescent="0.25">
      <c r="D57" s="379"/>
      <c r="E57" s="379"/>
    </row>
    <row r="58" spans="1:5" x14ac:dyDescent="0.25">
      <c r="D58" s="370"/>
      <c r="E58" s="370"/>
    </row>
    <row r="59" spans="1:5" x14ac:dyDescent="0.25">
      <c r="D59" s="378"/>
      <c r="E59" s="378"/>
    </row>
    <row r="60" spans="1:5" x14ac:dyDescent="0.25">
      <c r="D60" s="370"/>
      <c r="E60" s="370"/>
    </row>
    <row r="61" spans="1:5" x14ac:dyDescent="0.25">
      <c r="D61" s="370"/>
      <c r="E61" s="370"/>
    </row>
    <row r="62" spans="1:5" x14ac:dyDescent="0.25">
      <c r="D62" s="370"/>
      <c r="E62" s="370"/>
    </row>
    <row r="63" spans="1:5" x14ac:dyDescent="0.25">
      <c r="D63" s="378"/>
      <c r="E63" s="378"/>
    </row>
    <row r="64" spans="1:5" x14ac:dyDescent="0.25">
      <c r="D64" s="370"/>
      <c r="E64" s="370"/>
    </row>
    <row r="65" spans="4:5" x14ac:dyDescent="0.25">
      <c r="D65" s="370"/>
      <c r="E65" s="370"/>
    </row>
    <row r="66" spans="4:5" x14ac:dyDescent="0.25">
      <c r="D66" s="370"/>
      <c r="E66" s="370"/>
    </row>
    <row r="67" spans="4:5" x14ac:dyDescent="0.25">
      <c r="D67" s="378"/>
      <c r="E67" s="378"/>
    </row>
    <row r="68" spans="4:5" x14ac:dyDescent="0.25">
      <c r="D68" s="380"/>
      <c r="E68" s="380"/>
    </row>
    <row r="69" spans="4:5" x14ac:dyDescent="0.25">
      <c r="D69" s="370"/>
      <c r="E69" s="370"/>
    </row>
    <row r="70" spans="4:5" x14ac:dyDescent="0.25">
      <c r="D70" s="370"/>
      <c r="E70" s="370"/>
    </row>
    <row r="71" spans="4:5" x14ac:dyDescent="0.25">
      <c r="D71" s="378"/>
      <c r="E71" s="378"/>
    </row>
    <row r="72" spans="4:5" x14ac:dyDescent="0.25">
      <c r="D72" s="370"/>
      <c r="E72" s="370"/>
    </row>
    <row r="73" spans="4:5" x14ac:dyDescent="0.25">
      <c r="D73" s="370"/>
      <c r="E73" s="370"/>
    </row>
    <row r="74" spans="4:5" x14ac:dyDescent="0.25">
      <c r="D74" s="370"/>
      <c r="E74" s="370"/>
    </row>
    <row r="75" spans="4:5" x14ac:dyDescent="0.25">
      <c r="D75" s="370"/>
      <c r="E75" s="370"/>
    </row>
    <row r="76" spans="4:5" x14ac:dyDescent="0.25">
      <c r="D76" s="370"/>
      <c r="E76" s="370"/>
    </row>
    <row r="77" spans="4:5" x14ac:dyDescent="0.25">
      <c r="D77" s="370"/>
      <c r="E77" s="370"/>
    </row>
    <row r="78" spans="4:5" x14ac:dyDescent="0.25">
      <c r="D78" s="370"/>
      <c r="E78" s="370"/>
    </row>
    <row r="79" spans="4:5" x14ac:dyDescent="0.25">
      <c r="D79" s="370"/>
      <c r="E79" s="370"/>
    </row>
    <row r="80" spans="4:5" x14ac:dyDescent="0.25">
      <c r="D80" s="370"/>
      <c r="E80" s="370"/>
    </row>
    <row r="81" spans="4:5" x14ac:dyDescent="0.25">
      <c r="D81" s="370"/>
      <c r="E81" s="370"/>
    </row>
    <row r="82" spans="4:5" x14ac:dyDescent="0.25">
      <c r="D82" s="370"/>
      <c r="E82" s="370"/>
    </row>
    <row r="83" spans="4:5" x14ac:dyDescent="0.25">
      <c r="D83" s="378"/>
      <c r="E83" s="378"/>
    </row>
    <row r="84" spans="4:5" x14ac:dyDescent="0.25">
      <c r="D84" s="378"/>
      <c r="E84" s="378"/>
    </row>
    <row r="85" spans="4:5" x14ac:dyDescent="0.25">
      <c r="D85" s="370"/>
      <c r="E85" s="370"/>
    </row>
    <row r="86" spans="4:5" x14ac:dyDescent="0.25">
      <c r="D86" s="379"/>
      <c r="E86" s="379"/>
    </row>
    <row r="87" spans="4:5" x14ac:dyDescent="0.25">
      <c r="D87" s="380"/>
      <c r="E87" s="380"/>
    </row>
    <row r="88" spans="4:5" x14ac:dyDescent="0.25">
      <c r="D88" s="370"/>
      <c r="E88" s="370"/>
    </row>
    <row r="89" spans="4:5" x14ac:dyDescent="0.25">
      <c r="D89" s="370"/>
      <c r="E89" s="370"/>
    </row>
    <row r="90" spans="4:5" x14ac:dyDescent="0.25">
      <c r="D90" s="370"/>
      <c r="E90" s="370"/>
    </row>
    <row r="91" spans="4:5" x14ac:dyDescent="0.25">
      <c r="D91" s="370"/>
      <c r="E91" s="370"/>
    </row>
    <row r="92" spans="4:5" x14ac:dyDescent="0.25">
      <c r="D92" s="370"/>
      <c r="E92" s="370"/>
    </row>
    <row r="93" spans="4:5" x14ac:dyDescent="0.25">
      <c r="D93" s="370"/>
      <c r="E93" s="370"/>
    </row>
    <row r="94" spans="4:5" x14ac:dyDescent="0.25">
      <c r="D94" s="370"/>
      <c r="E94" s="370"/>
    </row>
    <row r="95" spans="4:5" x14ac:dyDescent="0.25">
      <c r="D95" s="370"/>
      <c r="E95" s="370"/>
    </row>
    <row r="96" spans="4:5" x14ac:dyDescent="0.25">
      <c r="D96" s="370"/>
      <c r="E96" s="370"/>
    </row>
    <row r="97" spans="4:5" x14ac:dyDescent="0.25">
      <c r="D97" s="368"/>
      <c r="E97" s="368"/>
    </row>
    <row r="98" spans="4:5" ht="15.75" x14ac:dyDescent="0.25">
      <c r="D98" s="381"/>
      <c r="E98" s="382"/>
    </row>
    <row r="99" spans="4:5" x14ac:dyDescent="0.25">
      <c r="D99" s="379"/>
      <c r="E99" s="379"/>
    </row>
    <row r="100" spans="4:5" x14ac:dyDescent="0.25">
      <c r="D100" s="379"/>
      <c r="E100" s="379"/>
    </row>
    <row r="101" spans="4:5" x14ac:dyDescent="0.25">
      <c r="D101" s="380"/>
      <c r="E101" s="379"/>
    </row>
    <row r="102" spans="4:5" x14ac:dyDescent="0.25">
      <c r="D102" s="380"/>
      <c r="E102" s="380"/>
    </row>
    <row r="103" spans="4:5" x14ac:dyDescent="0.25">
      <c r="D103" s="378"/>
      <c r="E103" s="378"/>
    </row>
    <row r="104" spans="4:5" x14ac:dyDescent="0.25">
      <c r="D104" s="379"/>
      <c r="E104" s="379"/>
    </row>
    <row r="105" spans="4:5" x14ac:dyDescent="0.25">
      <c r="D105" s="378"/>
      <c r="E105" s="378"/>
    </row>
    <row r="106" spans="4:5" x14ac:dyDescent="0.25">
      <c r="D106" s="379"/>
      <c r="E106" s="379"/>
    </row>
    <row r="107" spans="4:5" x14ac:dyDescent="0.25">
      <c r="D107" s="379"/>
      <c r="E107" s="379"/>
    </row>
    <row r="108" spans="4:5" x14ac:dyDescent="0.25">
      <c r="D108" s="370"/>
      <c r="E108" s="370"/>
    </row>
    <row r="109" spans="4:5" x14ac:dyDescent="0.25">
      <c r="D109" s="378"/>
      <c r="E109" s="378"/>
    </row>
    <row r="110" spans="4:5" x14ac:dyDescent="0.25">
      <c r="D110" s="370"/>
      <c r="E110" s="370"/>
    </row>
    <row r="111" spans="4:5" x14ac:dyDescent="0.25">
      <c r="D111" s="370"/>
      <c r="E111" s="370"/>
    </row>
    <row r="112" spans="4:5" x14ac:dyDescent="0.25">
      <c r="D112" s="370"/>
      <c r="E112" s="370"/>
    </row>
    <row r="113" spans="4:5" x14ac:dyDescent="0.25">
      <c r="D113" s="378"/>
      <c r="E113" s="378"/>
    </row>
    <row r="114" spans="4:5" x14ac:dyDescent="0.25">
      <c r="D114" s="370"/>
      <c r="E114" s="370"/>
    </row>
    <row r="115" spans="4:5" x14ac:dyDescent="0.25">
      <c r="D115" s="370"/>
      <c r="E115" s="370"/>
    </row>
    <row r="116" spans="4:5" x14ac:dyDescent="0.25">
      <c r="D116" s="378"/>
      <c r="E116" s="378"/>
    </row>
    <row r="117" spans="4:5" x14ac:dyDescent="0.25">
      <c r="D117" s="380"/>
      <c r="E117" s="380"/>
    </row>
    <row r="118" spans="4:5" x14ac:dyDescent="0.25">
      <c r="D118" s="370"/>
      <c r="E118" s="370"/>
    </row>
    <row r="119" spans="4:5" x14ac:dyDescent="0.25">
      <c r="D119" s="370"/>
      <c r="E119" s="370"/>
    </row>
    <row r="120" spans="4:5" x14ac:dyDescent="0.25">
      <c r="D120" s="378"/>
      <c r="E120" s="378"/>
    </row>
    <row r="121" spans="4:5" x14ac:dyDescent="0.25">
      <c r="D121" s="370"/>
      <c r="E121" s="370"/>
    </row>
    <row r="122" spans="4:5" x14ac:dyDescent="0.25">
      <c r="D122" s="370"/>
      <c r="E122" s="370"/>
    </row>
    <row r="123" spans="4:5" x14ac:dyDescent="0.25">
      <c r="D123" s="370"/>
      <c r="E123" s="370"/>
    </row>
    <row r="124" spans="4:5" x14ac:dyDescent="0.25">
      <c r="D124" s="370"/>
      <c r="E124" s="370"/>
    </row>
    <row r="125" spans="4:5" x14ac:dyDescent="0.25">
      <c r="D125" s="370"/>
      <c r="E125" s="370"/>
    </row>
    <row r="126" spans="4:5" x14ac:dyDescent="0.25">
      <c r="D126" s="370"/>
      <c r="E126" s="370"/>
    </row>
    <row r="127" spans="4:5" x14ac:dyDescent="0.25">
      <c r="D127" s="370"/>
      <c r="E127" s="370"/>
    </row>
    <row r="128" spans="4:5" x14ac:dyDescent="0.25">
      <c r="D128" s="370"/>
      <c r="E128" s="370"/>
    </row>
    <row r="129" spans="4:5" x14ac:dyDescent="0.25">
      <c r="D129" s="370"/>
      <c r="E129" s="370"/>
    </row>
    <row r="130" spans="4:5" x14ac:dyDescent="0.25">
      <c r="D130" s="370"/>
      <c r="E130" s="370"/>
    </row>
    <row r="131" spans="4:5" x14ac:dyDescent="0.25">
      <c r="D131" s="370"/>
      <c r="E131" s="370"/>
    </row>
    <row r="132" spans="4:5" x14ac:dyDescent="0.25">
      <c r="D132" s="378"/>
      <c r="E132" s="378"/>
    </row>
    <row r="133" spans="4:5" x14ac:dyDescent="0.25">
      <c r="D133" s="378"/>
      <c r="E133" s="378"/>
    </row>
    <row r="134" spans="4:5" x14ac:dyDescent="0.25">
      <c r="D134" s="378"/>
      <c r="E134" s="378"/>
    </row>
    <row r="135" spans="4:5" x14ac:dyDescent="0.25">
      <c r="D135" s="370"/>
      <c r="E135" s="370"/>
    </row>
    <row r="136" spans="4:5" x14ac:dyDescent="0.25">
      <c r="D136" s="379"/>
      <c r="E136" s="379"/>
    </row>
    <row r="137" spans="4:5" x14ac:dyDescent="0.25">
      <c r="D137" s="379"/>
      <c r="E137" s="379"/>
    </row>
    <row r="138" spans="4:5" x14ac:dyDescent="0.25">
      <c r="D138" s="380"/>
      <c r="E138" s="379"/>
    </row>
    <row r="139" spans="4:5" x14ac:dyDescent="0.25">
      <c r="D139" s="380"/>
      <c r="E139" s="380"/>
    </row>
    <row r="140" spans="4:5" x14ac:dyDescent="0.25">
      <c r="D140" s="378"/>
      <c r="E140" s="378"/>
    </row>
    <row r="141" spans="4:5" x14ac:dyDescent="0.25">
      <c r="D141" s="379"/>
      <c r="E141" s="379"/>
    </row>
    <row r="142" spans="4:5" x14ac:dyDescent="0.25">
      <c r="D142" s="378"/>
      <c r="E142" s="378"/>
    </row>
    <row r="143" spans="4:5" x14ac:dyDescent="0.25">
      <c r="D143" s="379"/>
      <c r="E143" s="379"/>
    </row>
    <row r="144" spans="4:5" x14ac:dyDescent="0.25">
      <c r="D144" s="379"/>
      <c r="E144" s="379"/>
    </row>
    <row r="145" spans="4:5" x14ac:dyDescent="0.25">
      <c r="D145" s="370"/>
      <c r="E145" s="370"/>
    </row>
    <row r="146" spans="4:5" x14ac:dyDescent="0.25">
      <c r="D146" s="378"/>
      <c r="E146" s="378"/>
    </row>
    <row r="147" spans="4:5" x14ac:dyDescent="0.25">
      <c r="D147" s="370"/>
      <c r="E147" s="370"/>
    </row>
    <row r="148" spans="4:5" x14ac:dyDescent="0.25">
      <c r="D148" s="370"/>
      <c r="E148" s="370"/>
    </row>
    <row r="149" spans="4:5" x14ac:dyDescent="0.25">
      <c r="D149" s="378"/>
      <c r="E149" s="378"/>
    </row>
    <row r="150" spans="4:5" x14ac:dyDescent="0.25">
      <c r="D150" s="370"/>
      <c r="E150" s="370"/>
    </row>
    <row r="151" spans="4:5" x14ac:dyDescent="0.25">
      <c r="D151" s="370"/>
      <c r="E151" s="370"/>
    </row>
    <row r="152" spans="4:5" x14ac:dyDescent="0.25">
      <c r="D152" s="370"/>
      <c r="E152" s="370"/>
    </row>
    <row r="153" spans="4:5" x14ac:dyDescent="0.25">
      <c r="D153" s="370"/>
      <c r="E153" s="370"/>
    </row>
    <row r="154" spans="4:5" x14ac:dyDescent="0.25">
      <c r="D154" s="370"/>
      <c r="E154" s="370"/>
    </row>
    <row r="155" spans="4:5" x14ac:dyDescent="0.25">
      <c r="D155" s="370"/>
      <c r="E155" s="370"/>
    </row>
    <row r="156" spans="4:5" x14ac:dyDescent="0.25">
      <c r="D156" s="370"/>
      <c r="E156" s="370"/>
    </row>
    <row r="157" spans="4:5" x14ac:dyDescent="0.25">
      <c r="D157" s="370"/>
      <c r="E157" s="370"/>
    </row>
    <row r="158" spans="4:5" x14ac:dyDescent="0.25">
      <c r="D158" s="370"/>
      <c r="E158" s="370"/>
    </row>
    <row r="159" spans="4:5" x14ac:dyDescent="0.25">
      <c r="D159" s="370"/>
      <c r="E159" s="370"/>
    </row>
    <row r="160" spans="4:5" x14ac:dyDescent="0.25">
      <c r="D160" s="370"/>
      <c r="E160" s="370"/>
    </row>
    <row r="161" spans="4:5" x14ac:dyDescent="0.25">
      <c r="D161" s="368"/>
      <c r="E161" s="368"/>
    </row>
    <row r="162" spans="4:5" ht="15.75" x14ac:dyDescent="0.25">
      <c r="D162" s="381"/>
      <c r="E162" s="382"/>
    </row>
    <row r="163" spans="4:5" x14ac:dyDescent="0.25">
      <c r="D163" s="379"/>
      <c r="E163" s="379"/>
    </row>
    <row r="164" spans="4:5" x14ac:dyDescent="0.25">
      <c r="D164" s="379"/>
      <c r="E164" s="379"/>
    </row>
    <row r="165" spans="4:5" x14ac:dyDescent="0.25">
      <c r="D165" s="380"/>
      <c r="E165" s="379"/>
    </row>
    <row r="166" spans="4:5" x14ac:dyDescent="0.25">
      <c r="D166" s="380"/>
      <c r="E166" s="380"/>
    </row>
    <row r="167" spans="4:5" x14ac:dyDescent="0.25">
      <c r="D167" s="378"/>
      <c r="E167" s="378"/>
    </row>
    <row r="168" spans="4:5" x14ac:dyDescent="0.25">
      <c r="D168" s="379"/>
      <c r="E168" s="379"/>
    </row>
    <row r="169" spans="4:5" x14ac:dyDescent="0.25">
      <c r="D169" s="379"/>
      <c r="E169" s="379"/>
    </row>
    <row r="170" spans="4:5" x14ac:dyDescent="0.25">
      <c r="D170" s="378"/>
      <c r="E170" s="378"/>
    </row>
    <row r="171" spans="4:5" x14ac:dyDescent="0.25">
      <c r="D171" s="379"/>
      <c r="E171" s="379"/>
    </row>
    <row r="172" spans="4:5" x14ac:dyDescent="0.25">
      <c r="D172" s="379"/>
      <c r="E172" s="379"/>
    </row>
    <row r="173" spans="4:5" x14ac:dyDescent="0.25">
      <c r="D173" s="370"/>
      <c r="E173" s="370"/>
    </row>
    <row r="174" spans="4:5" x14ac:dyDescent="0.25">
      <c r="D174" s="378"/>
      <c r="E174" s="378"/>
    </row>
    <row r="175" spans="4:5" x14ac:dyDescent="0.25">
      <c r="D175" s="370"/>
      <c r="E175" s="370"/>
    </row>
    <row r="176" spans="4:5" x14ac:dyDescent="0.25">
      <c r="D176" s="370"/>
      <c r="E176" s="370"/>
    </row>
    <row r="177" spans="4:5" x14ac:dyDescent="0.25">
      <c r="D177" s="370"/>
      <c r="E177" s="370"/>
    </row>
    <row r="178" spans="4:5" x14ac:dyDescent="0.25">
      <c r="D178" s="378"/>
      <c r="E178" s="378"/>
    </row>
    <row r="179" spans="4:5" x14ac:dyDescent="0.25">
      <c r="D179" s="370"/>
      <c r="E179" s="370"/>
    </row>
    <row r="180" spans="4:5" x14ac:dyDescent="0.25">
      <c r="D180" s="370"/>
      <c r="E180" s="370"/>
    </row>
    <row r="181" spans="4:5" x14ac:dyDescent="0.25">
      <c r="D181" s="370"/>
      <c r="E181" s="370"/>
    </row>
    <row r="182" spans="4:5" x14ac:dyDescent="0.25">
      <c r="D182" s="370"/>
      <c r="E182" s="370"/>
    </row>
    <row r="183" spans="4:5" x14ac:dyDescent="0.25">
      <c r="D183" s="370"/>
      <c r="E183" s="370"/>
    </row>
    <row r="184" spans="4:5" x14ac:dyDescent="0.25">
      <c r="D184" s="378"/>
      <c r="E184" s="378"/>
    </row>
    <row r="185" spans="4:5" x14ac:dyDescent="0.25">
      <c r="D185" s="380"/>
      <c r="E185" s="380"/>
    </row>
    <row r="186" spans="4:5" x14ac:dyDescent="0.25">
      <c r="D186" s="370"/>
      <c r="E186" s="370"/>
    </row>
    <row r="187" spans="4:5" x14ac:dyDescent="0.25">
      <c r="D187" s="370"/>
      <c r="E187" s="370"/>
    </row>
    <row r="188" spans="4:5" x14ac:dyDescent="0.25">
      <c r="D188" s="378"/>
      <c r="E188" s="378"/>
    </row>
    <row r="189" spans="4:5" x14ac:dyDescent="0.25">
      <c r="D189" s="370"/>
      <c r="E189" s="370"/>
    </row>
    <row r="190" spans="4:5" x14ac:dyDescent="0.25">
      <c r="D190" s="370"/>
      <c r="E190" s="370"/>
    </row>
    <row r="191" spans="4:5" x14ac:dyDescent="0.25">
      <c r="D191" s="370"/>
      <c r="E191" s="370"/>
    </row>
    <row r="192" spans="4:5" x14ac:dyDescent="0.25">
      <c r="D192" s="370"/>
      <c r="E192" s="370"/>
    </row>
    <row r="193" spans="4:5" x14ac:dyDescent="0.25">
      <c r="D193" s="370"/>
      <c r="E193" s="370"/>
    </row>
    <row r="194" spans="4:5" x14ac:dyDescent="0.25">
      <c r="D194" s="370"/>
      <c r="E194" s="370"/>
    </row>
    <row r="195" spans="4:5" x14ac:dyDescent="0.25">
      <c r="D195" s="370"/>
      <c r="E195" s="370"/>
    </row>
    <row r="196" spans="4:5" x14ac:dyDescent="0.25">
      <c r="D196" s="370"/>
      <c r="E196" s="370"/>
    </row>
    <row r="197" spans="4:5" x14ac:dyDescent="0.25">
      <c r="D197" s="370"/>
      <c r="E197" s="370"/>
    </row>
    <row r="198" spans="4:5" x14ac:dyDescent="0.25">
      <c r="D198" s="370"/>
      <c r="E198" s="370"/>
    </row>
    <row r="199" spans="4:5" x14ac:dyDescent="0.25">
      <c r="D199" s="370"/>
      <c r="E199" s="370"/>
    </row>
    <row r="200" spans="4:5" x14ac:dyDescent="0.25">
      <c r="D200" s="370"/>
      <c r="E200" s="370"/>
    </row>
    <row r="201" spans="4:5" x14ac:dyDescent="0.25">
      <c r="D201" s="378"/>
      <c r="E201" s="378"/>
    </row>
    <row r="202" spans="4:5" x14ac:dyDescent="0.25">
      <c r="D202" s="370"/>
      <c r="E202" s="370"/>
    </row>
    <row r="203" spans="4:5" x14ac:dyDescent="0.25">
      <c r="D203" s="370"/>
      <c r="E203" s="370"/>
    </row>
    <row r="204" spans="4:5" x14ac:dyDescent="0.25">
      <c r="D204" s="378"/>
      <c r="E204" s="378"/>
    </row>
    <row r="205" spans="4:5" x14ac:dyDescent="0.25">
      <c r="D205" s="370"/>
      <c r="E205" s="370"/>
    </row>
    <row r="206" spans="4:5" x14ac:dyDescent="0.25">
      <c r="D206" s="370"/>
      <c r="E206" s="370"/>
    </row>
    <row r="207" spans="4:5" x14ac:dyDescent="0.25">
      <c r="D207" s="370"/>
      <c r="E207" s="370"/>
    </row>
    <row r="208" spans="4:5" x14ac:dyDescent="0.25">
      <c r="D208" s="370"/>
      <c r="E208" s="370"/>
    </row>
    <row r="209" spans="4:5" x14ac:dyDescent="0.25">
      <c r="D209" s="370"/>
      <c r="E209" s="370"/>
    </row>
    <row r="210" spans="4:5" x14ac:dyDescent="0.25">
      <c r="D210" s="378"/>
      <c r="E210" s="378"/>
    </row>
    <row r="211" spans="4:5" x14ac:dyDescent="0.25">
      <c r="D211" s="370"/>
      <c r="E211" s="370"/>
    </row>
    <row r="212" spans="4:5" x14ac:dyDescent="0.25">
      <c r="D212" s="370"/>
      <c r="E212" s="370"/>
    </row>
    <row r="213" spans="4:5" x14ac:dyDescent="0.25">
      <c r="D213" s="379"/>
      <c r="E213" s="378"/>
    </row>
    <row r="214" spans="4:5" x14ac:dyDescent="0.25">
      <c r="D214" s="379"/>
      <c r="E214" s="378"/>
    </row>
    <row r="215" spans="4:5" x14ac:dyDescent="0.25">
      <c r="D215" s="379"/>
      <c r="E215" s="370"/>
    </row>
    <row r="216" spans="4:5" x14ac:dyDescent="0.25">
      <c r="D216" s="379"/>
      <c r="E216" s="379"/>
    </row>
    <row r="217" spans="4:5" x14ac:dyDescent="0.25">
      <c r="D217" s="379"/>
      <c r="E217" s="370"/>
    </row>
    <row r="218" spans="4:5" x14ac:dyDescent="0.25">
      <c r="D218" s="379"/>
      <c r="E218" s="370"/>
    </row>
    <row r="219" spans="4:5" x14ac:dyDescent="0.25">
      <c r="D219" s="379"/>
      <c r="E219" s="370"/>
    </row>
    <row r="220" spans="4:5" x14ac:dyDescent="0.25">
      <c r="D220" s="379"/>
      <c r="E220" s="378"/>
    </row>
    <row r="221" spans="4:5" x14ac:dyDescent="0.25">
      <c r="D221" s="379"/>
      <c r="E221" s="370"/>
    </row>
    <row r="222" spans="4:5" x14ac:dyDescent="0.25">
      <c r="D222" s="370"/>
      <c r="E222" s="370"/>
    </row>
  </sheetData>
  <phoneticPr fontId="86" type="noConversion"/>
  <pageMargins left="0.7" right="0.7" top="0.75" bottom="0.75" header="0.3" footer="0.3"/>
  <pageSetup orientation="portrait" r:id="rId2"/>
  <drawing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7</vt:i4>
      </vt:variant>
    </vt:vector>
  </HeadingPairs>
  <TitlesOfParts>
    <vt:vector size="20" baseType="lpstr">
      <vt:lpstr>anexo planofinanceiro</vt:lpstr>
      <vt:lpstr>Plano_financeiro2021</vt:lpstr>
      <vt:lpstr>MapaI</vt:lpstr>
      <vt:lpstr>MapaII</vt:lpstr>
      <vt:lpstr>MapaIII</vt:lpstr>
      <vt:lpstr>MapaVIII</vt:lpstr>
      <vt:lpstr>MapaVII</vt:lpstr>
      <vt:lpstr>MAPA IX</vt:lpstr>
      <vt:lpstr>MapaX</vt:lpstr>
      <vt:lpstr>Sheet1</vt:lpstr>
      <vt:lpstr>MapaXI</vt:lpstr>
      <vt:lpstr>Sheet2</vt:lpstr>
      <vt:lpstr>inv rubricas</vt:lpstr>
      <vt:lpstr>'MAPA IX'!Área_de_Impressão</vt:lpstr>
      <vt:lpstr>MapaI!Área_de_Impressão</vt:lpstr>
      <vt:lpstr>MapaII!Área_de_Impressão</vt:lpstr>
      <vt:lpstr>MapaIII!Área_de_Impressão</vt:lpstr>
      <vt:lpstr>MapaX!Área_de_Impressão</vt:lpstr>
      <vt:lpstr>MapaXI!Área_de_Impressão</vt:lpstr>
      <vt:lpstr>MapaI!Títulos_de_Impressão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CMSM / UGA - Anila Maria Correia Rodrigues</dc:creator>
  <cp:keywords/>
  <dc:description/>
  <cp:lastModifiedBy>CMSM / UGA - Anila Maria Correia Rodrigues</cp:lastModifiedBy>
  <cp:lastPrinted>2023-11-09T11:55:54Z</cp:lastPrinted>
  <dcterms:created xsi:type="dcterms:W3CDTF">2022-08-25T20:21:08Z</dcterms:created>
  <dcterms:modified xsi:type="dcterms:W3CDTF">2023-11-15T11:32:18Z</dcterms:modified>
  <cp:category/>
</cp:coreProperties>
</file>